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guage Codes" sheetId="1" r:id="rId4"/>
    <sheet state="visible" name="GOOGLEFINANCE" sheetId="2" r:id="rId5"/>
    <sheet state="visible" name="IMPORTRANGE" sheetId="3" r:id="rId6"/>
    <sheet state="visible" name="GOOGLETRANSLATE" sheetId="4" r:id="rId7"/>
    <sheet state="visible" name="QUERY 1" sheetId="5" r:id="rId8"/>
    <sheet state="visible" name="QUERY 2" sheetId="6" r:id="rId9"/>
    <sheet state="visible" name="QUERY 3" sheetId="7" r:id="rId10"/>
  </sheets>
  <definedNames>
    <definedName name="job_list">GOOGLETRANSLATE!$A$5:$P$1473</definedName>
    <definedName name="language_codes">'Language Codes'!$B$2:$B$105</definedName>
  </definedNames>
  <calcPr/>
</workbook>
</file>

<file path=xl/sharedStrings.xml><?xml version="1.0" encoding="utf-8"?>
<sst xmlns="http://schemas.openxmlformats.org/spreadsheetml/2006/main" count="16120" uniqueCount="2455">
  <si>
    <t>Country Name</t>
  </si>
  <si>
    <t>Language Code</t>
  </si>
  <si>
    <t>Afrikaans</t>
  </si>
  <si>
    <t>af</t>
  </si>
  <si>
    <t>Albanian</t>
  </si>
  <si>
    <t>sq</t>
  </si>
  <si>
    <t>Amharic</t>
  </si>
  <si>
    <t>am</t>
  </si>
  <si>
    <t>Arabic</t>
  </si>
  <si>
    <t>ar</t>
  </si>
  <si>
    <t>Armenian</t>
  </si>
  <si>
    <t>hy</t>
  </si>
  <si>
    <t>Azeerbaijani</t>
  </si>
  <si>
    <t>az</t>
  </si>
  <si>
    <t>Basque</t>
  </si>
  <si>
    <t>eu</t>
  </si>
  <si>
    <t>Belarusian</t>
  </si>
  <si>
    <t>be</t>
  </si>
  <si>
    <t>Bengali</t>
  </si>
  <si>
    <t>bn</t>
  </si>
  <si>
    <t>Bosnian</t>
  </si>
  <si>
    <t>bs</t>
  </si>
  <si>
    <t>Bulgarian</t>
  </si>
  <si>
    <t>bg</t>
  </si>
  <si>
    <t>Catalan</t>
  </si>
  <si>
    <t>ca</t>
  </si>
  <si>
    <t>Cebuano</t>
  </si>
  <si>
    <t>ceb (ISO-639-2)</t>
  </si>
  <si>
    <t>Chinese (Simplified)</t>
  </si>
  <si>
    <t>zh-CN</t>
  </si>
  <si>
    <t>Chinese (Traditional)</t>
  </si>
  <si>
    <t>zh-TW</t>
  </si>
  <si>
    <t>Corsican</t>
  </si>
  <si>
    <t>co</t>
  </si>
  <si>
    <t>Croatian</t>
  </si>
  <si>
    <t>hr</t>
  </si>
  <si>
    <t>Czech</t>
  </si>
  <si>
    <t>cs</t>
  </si>
  <si>
    <t>Danish</t>
  </si>
  <si>
    <t>da</t>
  </si>
  <si>
    <t>Dutch</t>
  </si>
  <si>
    <t>nl</t>
  </si>
  <si>
    <t>English</t>
  </si>
  <si>
    <t>en</t>
  </si>
  <si>
    <t>Esperanto</t>
  </si>
  <si>
    <t>eo</t>
  </si>
  <si>
    <t>Estonian</t>
  </si>
  <si>
    <t>et</t>
  </si>
  <si>
    <t>Finnish</t>
  </si>
  <si>
    <t>fi</t>
  </si>
  <si>
    <t>French</t>
  </si>
  <si>
    <t>fr</t>
  </si>
  <si>
    <t>Frisian</t>
  </si>
  <si>
    <t>fy</t>
  </si>
  <si>
    <t>Galician</t>
  </si>
  <si>
    <t>gl</t>
  </si>
  <si>
    <t>Georgian</t>
  </si>
  <si>
    <t>ka</t>
  </si>
  <si>
    <t>German</t>
  </si>
  <si>
    <t>de</t>
  </si>
  <si>
    <t>Greek</t>
  </si>
  <si>
    <t>el</t>
  </si>
  <si>
    <t>Gujarati</t>
  </si>
  <si>
    <t>gu</t>
  </si>
  <si>
    <t>Haitian Creole</t>
  </si>
  <si>
    <t>ht</t>
  </si>
  <si>
    <t>Hausa</t>
  </si>
  <si>
    <t>ha</t>
  </si>
  <si>
    <t>Hawaiian</t>
  </si>
  <si>
    <t>haw (ISO-639-2)</t>
  </si>
  <si>
    <t>Hebrew</t>
  </si>
  <si>
    <t>iw</t>
  </si>
  <si>
    <t>Hindi</t>
  </si>
  <si>
    <t>hi</t>
  </si>
  <si>
    <t>Hmong</t>
  </si>
  <si>
    <t>hmn (ISO-639-2)</t>
  </si>
  <si>
    <t>Hungarian</t>
  </si>
  <si>
    <t>hu</t>
  </si>
  <si>
    <t>Icelandic</t>
  </si>
  <si>
    <t>is</t>
  </si>
  <si>
    <t>Igbo</t>
  </si>
  <si>
    <t>ig</t>
  </si>
  <si>
    <t>Indonesian</t>
  </si>
  <si>
    <t>id</t>
  </si>
  <si>
    <t>Irish</t>
  </si>
  <si>
    <t>ga</t>
  </si>
  <si>
    <t>Italian</t>
  </si>
  <si>
    <t>it</t>
  </si>
  <si>
    <t>Japanese</t>
  </si>
  <si>
    <t>ja</t>
  </si>
  <si>
    <t>Javanese</t>
  </si>
  <si>
    <t>jw</t>
  </si>
  <si>
    <t>Kannada</t>
  </si>
  <si>
    <t>kn</t>
  </si>
  <si>
    <t>Kazakh</t>
  </si>
  <si>
    <t>kk</t>
  </si>
  <si>
    <t>Khmer</t>
  </si>
  <si>
    <t>km</t>
  </si>
  <si>
    <t>Korean</t>
  </si>
  <si>
    <t>ko</t>
  </si>
  <si>
    <t>Kurdish</t>
  </si>
  <si>
    <t>ku</t>
  </si>
  <si>
    <t>Kyrgyz</t>
  </si>
  <si>
    <t>ky</t>
  </si>
  <si>
    <t>Lao</t>
  </si>
  <si>
    <t>lo</t>
  </si>
  <si>
    <t>Latin</t>
  </si>
  <si>
    <t>la</t>
  </si>
  <si>
    <t>Latvian</t>
  </si>
  <si>
    <t>lv</t>
  </si>
  <si>
    <t>Lithuanian</t>
  </si>
  <si>
    <t>lt</t>
  </si>
  <si>
    <t>Luxembourgish</t>
  </si>
  <si>
    <t>lb</t>
  </si>
  <si>
    <t>Macedonian</t>
  </si>
  <si>
    <t>mk</t>
  </si>
  <si>
    <t>Malagasy</t>
  </si>
  <si>
    <t>mg</t>
  </si>
  <si>
    <t>Malay</t>
  </si>
  <si>
    <t>ms</t>
  </si>
  <si>
    <t>Malayalam</t>
  </si>
  <si>
    <t>ml</t>
  </si>
  <si>
    <t>Maltese</t>
  </si>
  <si>
    <t>mt</t>
  </si>
  <si>
    <t>Maori</t>
  </si>
  <si>
    <t>mi</t>
  </si>
  <si>
    <t>Marathi</t>
  </si>
  <si>
    <t>mr</t>
  </si>
  <si>
    <t>Mongolian</t>
  </si>
  <si>
    <t>mn</t>
  </si>
  <si>
    <t>Myanmar (Burmese)</t>
  </si>
  <si>
    <t>my</t>
  </si>
  <si>
    <t>Nepali</t>
  </si>
  <si>
    <t>ne</t>
  </si>
  <si>
    <t>Norwegian</t>
  </si>
  <si>
    <t>no</t>
  </si>
  <si>
    <t>Nyanja (Chichewa)</t>
  </si>
  <si>
    <t>ny</t>
  </si>
  <si>
    <t>Pashto</t>
  </si>
  <si>
    <t>ps</t>
  </si>
  <si>
    <t>Persian</t>
  </si>
  <si>
    <t>fa</t>
  </si>
  <si>
    <t>Polish</t>
  </si>
  <si>
    <t>pl</t>
  </si>
  <si>
    <t>Portuguese (Portugal, Brazil)</t>
  </si>
  <si>
    <t>pt</t>
  </si>
  <si>
    <t>Punjabi</t>
  </si>
  <si>
    <t>pa</t>
  </si>
  <si>
    <t>Romanian</t>
  </si>
  <si>
    <t>ro</t>
  </si>
  <si>
    <t>Russian</t>
  </si>
  <si>
    <t>ru</t>
  </si>
  <si>
    <t>Samoan</t>
  </si>
  <si>
    <t>sm</t>
  </si>
  <si>
    <t>Scots Gaelic</t>
  </si>
  <si>
    <t>gd</t>
  </si>
  <si>
    <t>Serbian</t>
  </si>
  <si>
    <t>sr</t>
  </si>
  <si>
    <t>Sesotho</t>
  </si>
  <si>
    <t>st</t>
  </si>
  <si>
    <t>Shona</t>
  </si>
  <si>
    <t>sn</t>
  </si>
  <si>
    <t>Sindhi</t>
  </si>
  <si>
    <t>sd</t>
  </si>
  <si>
    <t>Sinhala (Sinhalese)</t>
  </si>
  <si>
    <t>si</t>
  </si>
  <si>
    <t>Slovak</t>
  </si>
  <si>
    <t>sk</t>
  </si>
  <si>
    <t>Slovenian</t>
  </si>
  <si>
    <t>sl</t>
  </si>
  <si>
    <t>Somali</t>
  </si>
  <si>
    <t>so</t>
  </si>
  <si>
    <t>Spanish</t>
  </si>
  <si>
    <t>es</t>
  </si>
  <si>
    <t>Sundanese</t>
  </si>
  <si>
    <t>su</t>
  </si>
  <si>
    <t>Swahili</t>
  </si>
  <si>
    <t>sw</t>
  </si>
  <si>
    <t>Swedish</t>
  </si>
  <si>
    <t>sv</t>
  </si>
  <si>
    <t>Tagalog (Filipino)</t>
  </si>
  <si>
    <t>tl</t>
  </si>
  <si>
    <t>Tajik</t>
  </si>
  <si>
    <t>tg</t>
  </si>
  <si>
    <t>Tamil</t>
  </si>
  <si>
    <t>ta</t>
  </si>
  <si>
    <t>Telugu</t>
  </si>
  <si>
    <t>te</t>
  </si>
  <si>
    <t>Thai</t>
  </si>
  <si>
    <t>th</t>
  </si>
  <si>
    <t>Turkish</t>
  </si>
  <si>
    <t>tr</t>
  </si>
  <si>
    <t>Ukrainian</t>
  </si>
  <si>
    <t>uk</t>
  </si>
  <si>
    <t>Urdu</t>
  </si>
  <si>
    <t>ur</t>
  </si>
  <si>
    <t>Uzbek</t>
  </si>
  <si>
    <t>uz</t>
  </si>
  <si>
    <t>Vietnamese</t>
  </si>
  <si>
    <t>vi</t>
  </si>
  <si>
    <t>Welsh</t>
  </si>
  <si>
    <t>cy</t>
  </si>
  <si>
    <t>Xhosa</t>
  </si>
  <si>
    <t>xh</t>
  </si>
  <si>
    <t>Yiddish</t>
  </si>
  <si>
    <t>yi</t>
  </si>
  <si>
    <t>Yoruba</t>
  </si>
  <si>
    <t>yo</t>
  </si>
  <si>
    <t>Zulu</t>
  </si>
  <si>
    <t>zu</t>
  </si>
  <si>
    <t>Company</t>
  </si>
  <si>
    <t>Ticker</t>
  </si>
  <si>
    <t>Stock Price</t>
  </si>
  <si>
    <t>Amazon</t>
  </si>
  <si>
    <t>AMZN</t>
  </si>
  <si>
    <t>TSLA</t>
  </si>
  <si>
    <t>Apple</t>
  </si>
  <si>
    <t>AAPL</t>
  </si>
  <si>
    <t>Facebook</t>
  </si>
  <si>
    <t>FB</t>
  </si>
  <si>
    <t>Date Start</t>
  </si>
  <si>
    <t>Google</t>
  </si>
  <si>
    <t>GOOG</t>
  </si>
  <si>
    <t>Date End</t>
  </si>
  <si>
    <t>Tesla</t>
  </si>
  <si>
    <t>Twitter</t>
  </si>
  <si>
    <t>TWTR</t>
  </si>
  <si>
    <t xml:space="preserve">Interval </t>
  </si>
  <si>
    <t>DAILY</t>
  </si>
  <si>
    <t>BTC</t>
  </si>
  <si>
    <t>CURRENCY:BTCUSD</t>
  </si>
  <si>
    <t>ETH</t>
  </si>
  <si>
    <t>CURRENCY:ETHUSD</t>
  </si>
  <si>
    <t>LTC</t>
  </si>
  <si>
    <t>CURRENCY:LTCUSD</t>
  </si>
  <si>
    <t>USDTRY</t>
  </si>
  <si>
    <t>TRYUSD</t>
  </si>
  <si>
    <t>url</t>
  </si>
  <si>
    <t>https://docs.google.com/spreadsheets/d/1hbDSqwyxGg1KPa_rqkVENqXJa6JhTOz3qJ33Jrz2Wz0/edit#gid=0</t>
  </si>
  <si>
    <t>range</t>
  </si>
  <si>
    <t>job_list_de!A1:L1470</t>
  </si>
  <si>
    <t>source_language</t>
  </si>
  <si>
    <t>target_language</t>
  </si>
  <si>
    <t>#</t>
  </si>
  <si>
    <t>Date_raw</t>
  </si>
  <si>
    <t>Date</t>
  </si>
  <si>
    <t>Title</t>
  </si>
  <si>
    <t>Location</t>
  </si>
  <si>
    <t>Salary_raw</t>
  </si>
  <si>
    <t>Salary (€)</t>
  </si>
  <si>
    <t>Salary Type_raw</t>
  </si>
  <si>
    <t>Salary Type</t>
  </si>
  <si>
    <t>Salary Yearly (€)</t>
  </si>
  <si>
    <t>Skills</t>
  </si>
  <si>
    <t>Job Type</t>
  </si>
  <si>
    <t>Rating</t>
  </si>
  <si>
    <t>vor 7 Tagen</t>
  </si>
  <si>
    <t>AI Data Scientist / Signal Processing (f/m/d)</t>
  </si>
  <si>
    <t>Berlin</t>
  </si>
  <si>
    <t>WOW Tech Group</t>
  </si>
  <si>
    <t>None</t>
  </si>
  <si>
    <t>No salary data</t>
  </si>
  <si>
    <t>Python, Machine Learning, Deep Learning, Statistic</t>
  </si>
  <si>
    <t>No job type data</t>
  </si>
  <si>
    <t>4,9</t>
  </si>
  <si>
    <t>Vor mehr als 30 Tagen</t>
  </si>
  <si>
    <t>Jr Data Scientist</t>
  </si>
  <si>
    <t>Quantum Brains</t>
  </si>
  <si>
    <t>Python, Machine Learning, Statistic, Git, Linux</t>
  </si>
  <si>
    <t>vor 5 Tagen</t>
  </si>
  <si>
    <t>Research Scientist (f/m/d) - Visual Data Science</t>
  </si>
  <si>
    <t>München</t>
  </si>
  <si>
    <t>Siemens AG</t>
  </si>
  <si>
    <t>Python, Tableau</t>
  </si>
  <si>
    <t>Full-Time</t>
  </si>
  <si>
    <t>4,0</t>
  </si>
  <si>
    <t>Data Analyst</t>
  </si>
  <si>
    <t>Fy</t>
  </si>
  <si>
    <t>Python, SQL, Statistic, Git</t>
  </si>
  <si>
    <t>Junior Data Consultant (m/f/d)</t>
  </si>
  <si>
    <t>Hamburg</t>
  </si>
  <si>
    <t>Artefact</t>
  </si>
  <si>
    <t>Git, Agile</t>
  </si>
  <si>
    <t>Data Scientist</t>
  </si>
  <si>
    <t>International Fellow (m/f/d) with focus on climate change an...</t>
  </si>
  <si>
    <t>Ecologic Institut</t>
  </si>
  <si>
    <t>Git</t>
  </si>
  <si>
    <t>Part-Time</t>
  </si>
  <si>
    <t>vor 2 Tagen</t>
  </si>
  <si>
    <t>Data Scientist (Intern)</t>
  </si>
  <si>
    <t>Paintgun</t>
  </si>
  <si>
    <t>Python, SQL, Machine Learning, Statistic</t>
  </si>
  <si>
    <t>vor 1 Tag</t>
  </si>
  <si>
    <t>Founders Office - Data &amp; Insights</t>
  </si>
  <si>
    <t>N26</t>
  </si>
  <si>
    <t>Python, SQL, Tableau, Git</t>
  </si>
  <si>
    <t>3,4</t>
  </si>
  <si>
    <t>Data Scientist (m|f|d) Membrane Technologies</t>
  </si>
  <si>
    <t>Göttingen</t>
  </si>
  <si>
    <t>Sartorius Stedim Biotech</t>
  </si>
  <si>
    <t>Python, SQL, Excel, Machine Learning, Agile</t>
  </si>
  <si>
    <t>3,7</t>
  </si>
  <si>
    <t>Heute</t>
  </si>
  <si>
    <t>Data Analyst (m/f/d)</t>
  </si>
  <si>
    <t>Creakom GmbH für kreative Kommunikation &amp; Business...</t>
  </si>
  <si>
    <t>Python, SQL, Tableau, Excel, Machine Learning, Statistic, Git</t>
  </si>
  <si>
    <t>Data Scientist (m/w/d)</t>
  </si>
  <si>
    <t>Konstanz</t>
  </si>
  <si>
    <t>SÜDKURIER GmbH Medienhaus</t>
  </si>
  <si>
    <t>Machine Learning, Git, Agile</t>
  </si>
  <si>
    <t>Data Analyst (various roles and levels)</t>
  </si>
  <si>
    <t>Klarna</t>
  </si>
  <si>
    <t>Python, SQL</t>
  </si>
  <si>
    <t>Data Science</t>
  </si>
  <si>
    <t>sovanta</t>
  </si>
  <si>
    <t>Python, Tableau, Git, Agile</t>
  </si>
  <si>
    <t>Data Engineer - All Levels</t>
  </si>
  <si>
    <t>Pandata</t>
  </si>
  <si>
    <t>Python, SQL, Git</t>
  </si>
  <si>
    <t>Data Science Internship (m/f/d) in Global Data Analytics</t>
  </si>
  <si>
    <t>Allianz SE (global headquarters)</t>
  </si>
  <si>
    <t>Python, Machine Learning</t>
  </si>
  <si>
    <t>Internship</t>
  </si>
  <si>
    <t>3,9</t>
  </si>
  <si>
    <t>vor 3 Tagen</t>
  </si>
  <si>
    <t>Intern / Working Student Data Engineering*</t>
  </si>
  <si>
    <t>FELD M</t>
  </si>
  <si>
    <t>Python, SQL, Agile</t>
  </si>
  <si>
    <t>Data Scientist (w/m/d)</t>
  </si>
  <si>
    <t>Otto (GmbH &amp; Co KG)</t>
  </si>
  <si>
    <t>Python, SQL, Tableau, Machine Learning, Linux, Agile, Scrum, Kanban</t>
  </si>
  <si>
    <t>3,5</t>
  </si>
  <si>
    <t>vor 4 Tagen</t>
  </si>
  <si>
    <t>International Data Analyst (m|f|x)</t>
  </si>
  <si>
    <t>idealo internet GmbH</t>
  </si>
  <si>
    <t>Python, SQL, Tableau, Excel, Statistic, Agile</t>
  </si>
  <si>
    <t>4,3</t>
  </si>
  <si>
    <t>Junior Data Analyst - HelloFreshGO (m/f/x)</t>
  </si>
  <si>
    <t>HelloFresh</t>
  </si>
  <si>
    <t>Python, SQL, Tableau, Excel, Statistic</t>
  </si>
  <si>
    <t>3,2</t>
  </si>
  <si>
    <t>vor 14 Tagen</t>
  </si>
  <si>
    <t>Masterand Data Science (m/w/d)</t>
  </si>
  <si>
    <t>Deutschland</t>
  </si>
  <si>
    <t>Endress+Hauser</t>
  </si>
  <si>
    <t>Python</t>
  </si>
  <si>
    <t>vor 12 Tagen</t>
  </si>
  <si>
    <t>Research Analyst</t>
  </si>
  <si>
    <t>Frankfurt am Main</t>
  </si>
  <si>
    <t>The European Central Bank</t>
  </si>
  <si>
    <t>Python, Tableau, Excel, Statistic</t>
  </si>
  <si>
    <t>Data Scientist (m/f/x)</t>
  </si>
  <si>
    <t>Karlsruhe</t>
  </si>
  <si>
    <t>solexas GmbH</t>
  </si>
  <si>
    <t>Python, SQL, Machine Learning, Statistic, Agile</t>
  </si>
  <si>
    <t>TUM IDP Project - Data Science for a Fintech (f/m/d)</t>
  </si>
  <si>
    <t>fulfin - financing ecommerce</t>
  </si>
  <si>
    <t>Python, Statistic</t>
  </si>
  <si>
    <t>vor 28 Tagen</t>
  </si>
  <si>
    <t>Intern (f/m/d) Data Analyst</t>
  </si>
  <si>
    <t>Tuttlingen</t>
  </si>
  <si>
    <t>Aesculap AG</t>
  </si>
  <si>
    <t>Python, Tableau, Machine Learning, Git, Agile</t>
  </si>
  <si>
    <t>Internship/Working Student: Data Science / Business Intellig...</t>
  </si>
  <si>
    <t>Mailbutler GmbH</t>
  </si>
  <si>
    <t>Data Engineer Intern (m/f/d)</t>
  </si>
  <si>
    <t>Acanthos Ventures GmbH</t>
  </si>
  <si>
    <t>University Graduate Data Analytics international (m/f/x)</t>
  </si>
  <si>
    <t>Bonn</t>
  </si>
  <si>
    <t>DHL Chief Executive Officer</t>
  </si>
  <si>
    <t>Python, Excel, Machine Learning</t>
  </si>
  <si>
    <t>Gerade geschaltet</t>
  </si>
  <si>
    <t>Dortmund</t>
  </si>
  <si>
    <t>sdc ventures GmbH</t>
  </si>
  <si>
    <t>Python, SQL, Tableau, Excel</t>
  </si>
  <si>
    <t>vor 6 Tagen</t>
  </si>
  <si>
    <t>Student Job: Data Analysis for Process Modeling (f/m/div)*</t>
  </si>
  <si>
    <t>Regensburg</t>
  </si>
  <si>
    <t>Infineon Technologies</t>
  </si>
  <si>
    <t>vor 13 Tagen</t>
  </si>
  <si>
    <t>Junior Solution Architect Business Intelligence &amp; Data Analy...</t>
  </si>
  <si>
    <t>Grafenrheinfeld</t>
  </si>
  <si>
    <t>HUBSTER.S GmbH</t>
  </si>
  <si>
    <t>45,000 € - 65,000 € pro Jahr</t>
  </si>
  <si>
    <t>Jahr</t>
  </si>
  <si>
    <t>Data Analyst (m/w/d) gesucht</t>
  </si>
  <si>
    <t>Hanseatic Statistics</t>
  </si>
  <si>
    <t>27 € pro Stunde</t>
  </si>
  <si>
    <t>Stunde</t>
  </si>
  <si>
    <t>Python, SQL, Statistic</t>
  </si>
  <si>
    <t>Data Analyst Intern (m/f/d)</t>
  </si>
  <si>
    <t>Python, Tableau, Excel, Git</t>
  </si>
  <si>
    <t>vor 10 Tagen</t>
  </si>
  <si>
    <t>Data Engineer (Internship)</t>
  </si>
  <si>
    <t>Fusionbase</t>
  </si>
  <si>
    <t>vor 21 Tagen</t>
  </si>
  <si>
    <t>Full-time opportunities for students &amp; recent graduates: Bus...</t>
  </si>
  <si>
    <t>Microsoft</t>
  </si>
  <si>
    <t>Excel, Git</t>
  </si>
  <si>
    <t>4,2</t>
  </si>
  <si>
    <t>Internship Data Science - Tech (m/f/d)</t>
  </si>
  <si>
    <t>Köln</t>
  </si>
  <si>
    <t>BASF Digital Farming GmbH</t>
  </si>
  <si>
    <t>Python, Machine Learning, Statistic, Git, Agile</t>
  </si>
  <si>
    <t>Compulsory internship - Engineering Data Analysis</t>
  </si>
  <si>
    <t>Hannover</t>
  </si>
  <si>
    <t>Continental AG</t>
  </si>
  <si>
    <t>Junior Data Scientist (m/w/d)</t>
  </si>
  <si>
    <t>Düsseldorf</t>
  </si>
  <si>
    <t>annalect</t>
  </si>
  <si>
    <t>Python, SQL, Machine Learning, Git</t>
  </si>
  <si>
    <t>GEN-C Graduate Program - AI / Analytics / Data Science / BI...</t>
  </si>
  <si>
    <t>Cognizant</t>
  </si>
  <si>
    <t>Python, Tableau, Machine Learning, Deep Learning, Git, Agile</t>
  </si>
  <si>
    <t>Full Time</t>
  </si>
  <si>
    <t>Taxfix</t>
  </si>
  <si>
    <t>Praktikum Data Science</t>
  </si>
  <si>
    <t>Baden-Württemberg</t>
  </si>
  <si>
    <t>LIDL Stiftung &amp; Co. KG</t>
  </si>
  <si>
    <t>Python, SQL, Machine Learning, Agile</t>
  </si>
  <si>
    <t>3,3</t>
  </si>
  <si>
    <t>Junior IT Business Analyst Master Data (f/m/div)*</t>
  </si>
  <si>
    <t>Infineon Technologies AG</t>
  </si>
  <si>
    <t>SQL</t>
  </si>
  <si>
    <t>Data Consultant - All Levels</t>
  </si>
  <si>
    <t>Python, SQL, Excel</t>
  </si>
  <si>
    <t>Data Scientist (various levels)</t>
  </si>
  <si>
    <t>Python, SQL, Machine Learning, Deep Learning, Statistic</t>
  </si>
  <si>
    <t>Working Student (f/m/d) Visual Analytics in Business Intelli...</t>
  </si>
  <si>
    <t>SQL, Tableau, Excel</t>
  </si>
  <si>
    <t>Part Time</t>
  </si>
  <si>
    <t>Data Engineer Hotels &amp; Resorts (m/f/d)</t>
  </si>
  <si>
    <t>TUI InfoTec GmbH</t>
  </si>
  <si>
    <t>SQL, Agile</t>
  </si>
  <si>
    <t>3,8</t>
  </si>
  <si>
    <t>Junior Data Analyst m/w/d</t>
  </si>
  <si>
    <t>Stephanskirchen</t>
  </si>
  <si>
    <t>Marc O'Polo</t>
  </si>
  <si>
    <t>Junior Business Intelligence Data Analyst (m/w/d)</t>
  </si>
  <si>
    <t>Dresden</t>
  </si>
  <si>
    <t>Bike24</t>
  </si>
  <si>
    <t>SQL, Tableau</t>
  </si>
  <si>
    <t>vor 26 Tagen</t>
  </si>
  <si>
    <t>Praktikant (m/w/d) im Bereich Data Science/Data Engineering...</t>
  </si>
  <si>
    <t>Vodafone</t>
  </si>
  <si>
    <t>Python, SQL, Tableau, Excel, Git</t>
  </si>
  <si>
    <t>Mandatory Internship (m/f/d) Data/ Business Intelligence</t>
  </si>
  <si>
    <t>TeamViewer Global</t>
  </si>
  <si>
    <t>vor 23 Tagen</t>
  </si>
  <si>
    <t>Mastercard Advisors Consulting, Data &amp; Services (Relaunch Yo...</t>
  </si>
  <si>
    <t>MasterCard</t>
  </si>
  <si>
    <t>SQL, Excel, Git, Agile</t>
  </si>
  <si>
    <t>Permanent</t>
  </si>
  <si>
    <t>Graduate Program Data &amp; Analytics</t>
  </si>
  <si>
    <t>Steria</t>
  </si>
  <si>
    <t>SQL, Git</t>
  </si>
  <si>
    <t>Student Job: Computer Science (f/m/div)*</t>
  </si>
  <si>
    <t>Python, Tableau, Excel</t>
  </si>
  <si>
    <t>Praktikant Business Intelligence/Data Analytics (m/w/d)</t>
  </si>
  <si>
    <t>Voya GmbH</t>
  </si>
  <si>
    <t>Praktikant/Abschlussarbeit (m/w/d) Data Analytics (SoSe 21)</t>
  </si>
  <si>
    <t>Marktoberdorf</t>
  </si>
  <si>
    <t>AGCO</t>
  </si>
  <si>
    <t>Python, Tableau, Git</t>
  </si>
  <si>
    <t>Analysis of EEG data for recognition of frustration levels</t>
  </si>
  <si>
    <t>Braunschweig</t>
  </si>
  <si>
    <t>DLR - Deutsches Zentrum für Luft- und Raumfahrt</t>
  </si>
  <si>
    <t>Data Analyst (Business Intelligence) (m/w/d)</t>
  </si>
  <si>
    <t>atene KOM GmbH</t>
  </si>
  <si>
    <t>vor 19 Tagen</t>
  </si>
  <si>
    <t>Business Intelligence Analyst</t>
  </si>
  <si>
    <t>Bettzeit GmbH</t>
  </si>
  <si>
    <t>SQL, Tableau, Excel, Statistic</t>
  </si>
  <si>
    <t>4,5</t>
  </si>
  <si>
    <t>Praktikant (m/w/d) im Bereich Business Intelligence, Data &amp;...</t>
  </si>
  <si>
    <t>Excel, Git, Jira</t>
  </si>
  <si>
    <t>Internship Business Intelligence</t>
  </si>
  <si>
    <t>Intern/Working Student Data Science / Business Analytics Con...</t>
  </si>
  <si>
    <t>Celonis SE</t>
  </si>
  <si>
    <t>Data Analyst - Stuttgart, Germany</t>
  </si>
  <si>
    <t>Stuttgart</t>
  </si>
  <si>
    <t>Occam Solutions</t>
  </si>
  <si>
    <t>Trainee Data Science (m/w/d)</t>
  </si>
  <si>
    <t>Leipzig</t>
  </si>
  <si>
    <t>AKKA TECHNOLOGIES</t>
  </si>
  <si>
    <t>Python, SQL, Tableau, Agile</t>
  </si>
  <si>
    <t>3,1</t>
  </si>
  <si>
    <t>Praktikum - Softwareentwickler (m/w/d) Data Science</t>
  </si>
  <si>
    <t>Böblingen</t>
  </si>
  <si>
    <t>umlaut AG</t>
  </si>
  <si>
    <t>Python, SQL, Machine Learning</t>
  </si>
  <si>
    <t>5,0</t>
  </si>
  <si>
    <t>Intern Strategy &amp; Data Consulting (m/f/div)</t>
  </si>
  <si>
    <t>Dept</t>
  </si>
  <si>
    <t>Tableau, Excel, Git</t>
  </si>
  <si>
    <t>Data Analyst (m/w/d) R, R-Shiny, Python</t>
  </si>
  <si>
    <t>Bundesdruckerei</t>
  </si>
  <si>
    <t>Python, Tableau, Git, Agile, Scrum</t>
  </si>
  <si>
    <t>Data Analyst (f/m/d) - Investment Data &amp; Technology</t>
  </si>
  <si>
    <t>Allianz Global Investors</t>
  </si>
  <si>
    <t>Python, SQL, Excel, Agile</t>
  </si>
  <si>
    <t>Data Analysis &amp; Data Engineering &amp; Data Science</t>
  </si>
  <si>
    <t>Qimia GmbH</t>
  </si>
  <si>
    <t>Praktikant Actuarial Services – Data Analytics</t>
  </si>
  <si>
    <t>Munich Re</t>
  </si>
  <si>
    <t>(Junior) Consultant Data Science (m/w/d)</t>
  </si>
  <si>
    <t>mayato GmbH</t>
  </si>
  <si>
    <t>4,8</t>
  </si>
  <si>
    <t>vor 24 Tagen</t>
  </si>
  <si>
    <t>Data Scientist in Biostatistics (m/f/d)</t>
  </si>
  <si>
    <t>Penzberg</t>
  </si>
  <si>
    <t>Roche</t>
  </si>
  <si>
    <t>Python, SQL, Tableau, Excel, Machine Learning, Deep Learning, Statistic, Agile</t>
  </si>
  <si>
    <t>(Full-Stack) Data Scientist</t>
  </si>
  <si>
    <t>Open-Xchange GmbH</t>
  </si>
  <si>
    <t>Data Analyst (m/f/d) - temp 12 months</t>
  </si>
  <si>
    <t>Herzogenaurach</t>
  </si>
  <si>
    <t>adidas</t>
  </si>
  <si>
    <t>Machine Learning, Statistic</t>
  </si>
  <si>
    <t>Traineeprogramm (m/w/d) in Technology, Data &amp; Innovation</t>
  </si>
  <si>
    <t>Eschborn</t>
  </si>
  <si>
    <t>Deutsche Bank</t>
  </si>
  <si>
    <t>Junior Data / BI Engineer (f/m/x)</t>
  </si>
  <si>
    <t>Customlytics GmbH</t>
  </si>
  <si>
    <t>Python, SQL, Tableau, Statistic</t>
  </si>
  <si>
    <t>(Junior) Frontend Engineer – Data Visualization (m/f/div)</t>
  </si>
  <si>
    <t>Elinvar GmbH</t>
  </si>
  <si>
    <t>Python, SQL, Excel, Git</t>
  </si>
  <si>
    <t>Praktikum Data Science in der Digitalisierung (m/w/d)</t>
  </si>
  <si>
    <t>Schwarzheide</t>
  </si>
  <si>
    <t>BASF Schwarzheide GmbH</t>
  </si>
  <si>
    <t>Python, Machine Learning, Git, Agile</t>
  </si>
  <si>
    <t>4,1</t>
  </si>
  <si>
    <t>vor 11 Tagen</t>
  </si>
  <si>
    <t>IT Data Architect (f/m/d)</t>
  </si>
  <si>
    <t>Bad Vilbel</t>
  </si>
  <si>
    <t>STADA Arzneimittel AG</t>
  </si>
  <si>
    <t>Python, SQL, Tableau, Machine Learning, Statistic, Linux</t>
  </si>
  <si>
    <t>Data Engineering - Entry Level (m/w/d)</t>
  </si>
  <si>
    <t>Nürnberg</t>
  </si>
  <si>
    <t>Exasol</t>
  </si>
  <si>
    <t>Junior Software Engineer (Internship) 20_000</t>
  </si>
  <si>
    <t>Terma A/S</t>
  </si>
  <si>
    <t>Python, SQL, Excel, Machine Learning, Git, Linux, Agile, Scrum</t>
  </si>
  <si>
    <t>Bremen</t>
  </si>
  <si>
    <t>JUST ADD AI GmbH</t>
  </si>
  <si>
    <t>Python, Machine Learning, Deep Learning, Agile</t>
  </si>
  <si>
    <t>Professionals Data Analyst m/f/t DE, Essen Permanent 28.09.2...</t>
  </si>
  <si>
    <t>Essen</t>
  </si>
  <si>
    <t>RWE Supply &amp; Trading GmbH</t>
  </si>
  <si>
    <t>Mathematiker Data Science (m/w/d)</t>
  </si>
  <si>
    <t>Python, SQL, Tableau</t>
  </si>
  <si>
    <t>(Junior) Data Scientist (m/w/d)</t>
  </si>
  <si>
    <t>Python, SQL, Tableau, Machine Learning, Agile</t>
  </si>
  <si>
    <t>(Junior) Developer – Bereich Data Warehouse (m|w|x)</t>
  </si>
  <si>
    <t>Python, SQL, Git, Linux, Agile</t>
  </si>
  <si>
    <t>AI Internship</t>
  </si>
  <si>
    <t>TERAKI GmbH</t>
  </si>
  <si>
    <t>Python, Machine Learning, Deep Learning</t>
  </si>
  <si>
    <t>vor 18 Tagen</t>
  </si>
  <si>
    <t>(Junior) Data Analyst (m/w/d)</t>
  </si>
  <si>
    <t>WG Datemanagement</t>
  </si>
  <si>
    <t>SQL, Git, Agile</t>
  </si>
  <si>
    <t>VIE Data Scientist - Stuttgart, H/F</t>
  </si>
  <si>
    <t>BNP Paribas</t>
  </si>
  <si>
    <t>planblue</t>
  </si>
  <si>
    <t>Python, Machine Learning, Statistic</t>
  </si>
  <si>
    <t>Business Analyst (m/w/d) Business Optimization</t>
  </si>
  <si>
    <t>QVC</t>
  </si>
  <si>
    <t>Python, SQL, Excel, Statistic</t>
  </si>
  <si>
    <t>Mitarbeiter Data Mining/Data Science (m/w/d)</t>
  </si>
  <si>
    <t>AOK Baden-Württemberg</t>
  </si>
  <si>
    <t>Python, Tableau, Machine Learning, Deep Learning, Agile</t>
  </si>
  <si>
    <t>(Junior) Business Intelligence Developer/Data Warehouse (m/w...</t>
  </si>
  <si>
    <t>immowelt</t>
  </si>
  <si>
    <t>DATA SCIENCE CONSULTANT FRANKFURT/DÜSSELDORF</t>
  </si>
  <si>
    <t>managementsolutions</t>
  </si>
  <si>
    <t>Python, Statistic, Git</t>
  </si>
  <si>
    <t>Knuddels</t>
  </si>
  <si>
    <t>BI Data Analyst (m/f/d)</t>
  </si>
  <si>
    <t>Wuppertal</t>
  </si>
  <si>
    <t>Vorwerk Services GmbH</t>
  </si>
  <si>
    <t>(Junior) Developer (f/m/d) for Master Data Service</t>
  </si>
  <si>
    <t>Potsdam</t>
  </si>
  <si>
    <t>SAP</t>
  </si>
  <si>
    <t>Machine Learning</t>
  </si>
  <si>
    <t>Manufacturing Data Science Internship, Stamping (m/w/d) - Gi...</t>
  </si>
  <si>
    <t>Grünheide (Mark)</t>
  </si>
  <si>
    <t>Data Scientist (d/m/f)</t>
  </si>
  <si>
    <t>Bayes Esports</t>
  </si>
  <si>
    <t>Python, SQL, Machine Learning, Statistic, Git</t>
  </si>
  <si>
    <t>Data Scientist (M/W/D)</t>
  </si>
  <si>
    <t>Technology &amp; Strategy</t>
  </si>
  <si>
    <t>Python, SQL, Tableau, Machine Learning</t>
  </si>
  <si>
    <t>Trainee Analytics &amp; Reporting international (m/w/d)</t>
  </si>
  <si>
    <t>DHL Human Resources</t>
  </si>
  <si>
    <t>Working Student for Software Development (M/W/D/R)</t>
  </si>
  <si>
    <t>Leonberg</t>
  </si>
  <si>
    <t>LEON Mobility</t>
  </si>
  <si>
    <t>Python, SQL, Machine Learning, Git, Agile</t>
  </si>
  <si>
    <t>Junior Data Analytics Consultant (m/w/d)</t>
  </si>
  <si>
    <t>Friedrichshafen</t>
  </si>
  <si>
    <t>doubleSlash Net-Business GmbH</t>
  </si>
  <si>
    <t>Data Scientist Advanced Analytics (m/w/d)</t>
  </si>
  <si>
    <t>Teltow</t>
  </si>
  <si>
    <t>Verti Versicherung AG</t>
  </si>
  <si>
    <t>Innovative Data Scientist - Pharmceuticals (m/f/d)</t>
  </si>
  <si>
    <t>Bayer</t>
  </si>
  <si>
    <t>Python, SQL, Machine Learning, Deep Learning, Statistic, Git</t>
  </si>
  <si>
    <t>Team Lead Data Analytics (f/m/d)</t>
  </si>
  <si>
    <t>Holidu GmbH</t>
  </si>
  <si>
    <t>4,4</t>
  </si>
  <si>
    <t>Data Science Intern</t>
  </si>
  <si>
    <t>PANDA</t>
  </si>
  <si>
    <t>Mandatory internship - Combining FEA and Machine Learning</t>
  </si>
  <si>
    <t>Data Analyst Healthcare (w/m/d)</t>
  </si>
  <si>
    <t>GWQ ServicePlus AG</t>
  </si>
  <si>
    <t>Praktikum im Bereich Big Data &amp; Advanced Analytics bei MB Va...</t>
  </si>
  <si>
    <t>Leinfelden-Echterdingen</t>
  </si>
  <si>
    <t>Mercedes-Benz AG</t>
  </si>
  <si>
    <t>Python, Tableau, Machine Learning, Deep Learning, Git</t>
  </si>
  <si>
    <t>vor 20 Tagen</t>
  </si>
  <si>
    <t>Darmstadt</t>
  </si>
  <si>
    <t>Bisnode</t>
  </si>
  <si>
    <t>(Junior) Data Engineer (m/w/d)</t>
  </si>
  <si>
    <t>Kempten (Allgäu)</t>
  </si>
  <si>
    <t>Ehrenmüller GmbH</t>
  </si>
  <si>
    <t>Python, Git, Linux</t>
  </si>
  <si>
    <t>Data Scientist – Ref.Nr. 309</t>
  </si>
  <si>
    <t>Heidelberg</t>
  </si>
  <si>
    <t>Max Planck Institute for Astronomy</t>
  </si>
  <si>
    <t>Python, Machine Learning, Statistic, Git</t>
  </si>
  <si>
    <t>Business Intelligence (BI) Architect / Data Engineer (m/w/d)</t>
  </si>
  <si>
    <t>Würzburg</t>
  </si>
  <si>
    <t>Koenig &amp; Bauer</t>
  </si>
  <si>
    <t>Trainee Program - Digital / IT Track (f/m/d)</t>
  </si>
  <si>
    <t>Uniper</t>
  </si>
  <si>
    <t>vor 17 Tagen</t>
  </si>
  <si>
    <t>Data Engineer / Python Backend Developer</t>
  </si>
  <si>
    <t>Thüringen</t>
  </si>
  <si>
    <t>Aviasales.ru</t>
  </si>
  <si>
    <t>Trainee Data Analytics &amp; AI - Digital Operations (w/m/d)</t>
  </si>
  <si>
    <t>PwC</t>
  </si>
  <si>
    <t>Python, Machine Learning, Git</t>
  </si>
  <si>
    <t>Data Analyst (m/w/d) im Bereich WeConnect Ökosystem bei Volk...</t>
  </si>
  <si>
    <t>Volkswagen AG</t>
  </si>
  <si>
    <t>Tableau, Git</t>
  </si>
  <si>
    <t>Master Data Analyst (m/w/d)</t>
  </si>
  <si>
    <t>Warburg Invest AG</t>
  </si>
  <si>
    <t>SQL, Excel</t>
  </si>
  <si>
    <t>vor 16 Tagen</t>
  </si>
  <si>
    <t>Data Analytics Engineer (all genders)</t>
  </si>
  <si>
    <t>Merck KGaA</t>
  </si>
  <si>
    <t>Python, SQL, Excel, Machine Learning, Git, Agile, Scrum</t>
  </si>
  <si>
    <t>Junior Data Engineer (m/w/d)</t>
  </si>
  <si>
    <t>SKS Unternehmensberatung</t>
  </si>
  <si>
    <t>Jam City</t>
  </si>
  <si>
    <t>Python, SQL, Tableau, Excel, Machine Learning, Statistic</t>
  </si>
  <si>
    <t>Data Engineer - E-Commerce (m/w/d) - Wiesbaden</t>
  </si>
  <si>
    <t>Fitvia GmbH</t>
  </si>
  <si>
    <t>SQL, Tableau, Git, Linux</t>
  </si>
  <si>
    <t>Scientific Programmer (f/m/d) - Bioinformatics</t>
  </si>
  <si>
    <t>Evotec</t>
  </si>
  <si>
    <t>Python, Excel, Statistic</t>
  </si>
  <si>
    <t>Business Intelligence Engineer - Data Insights</t>
  </si>
  <si>
    <t>Zalando</t>
  </si>
  <si>
    <t>SQL, Excel, Git</t>
  </si>
  <si>
    <t>Volunteer</t>
  </si>
  <si>
    <t>Data Engineer</t>
  </si>
  <si>
    <t>Biberach an der Riß</t>
  </si>
  <si>
    <t>Boehringer Ingelheim</t>
  </si>
  <si>
    <t>Data Warehouse Engineer</t>
  </si>
  <si>
    <t>wefox Group</t>
  </si>
  <si>
    <t>Contract</t>
  </si>
  <si>
    <t>Werkstudent (m/w/d) - Big Data &amp; Artificial Intelligence Com...</t>
  </si>
  <si>
    <t>1&amp;1 IONOS SE</t>
  </si>
  <si>
    <t>Junior Data Consultant</t>
  </si>
  <si>
    <t>Discover Trainee (m/f/d) Technology / IT</t>
  </si>
  <si>
    <t>Business Intelligence / Data Analyst (m/w/d)</t>
  </si>
  <si>
    <t>Consultix</t>
  </si>
  <si>
    <t>Working Student Data Engineering (f/m/d, 40-100%)</t>
  </si>
  <si>
    <t>Climeworks</t>
  </si>
  <si>
    <t>Data Architect / Engineer (Remote)</t>
  </si>
  <si>
    <t>Home Office</t>
  </si>
  <si>
    <t>Borg Collective GmbH</t>
  </si>
  <si>
    <t>Data Analyst (m/w/d)</t>
  </si>
  <si>
    <t>plista GmbH</t>
  </si>
  <si>
    <t>Python, SQL, Tableau, Excel, Machine Learning, Deep Learning, Statistic, Git</t>
  </si>
  <si>
    <t>J18099 - Payload Data Ground Segment Systems Engineer (m/w/d...</t>
  </si>
  <si>
    <t>Telespazio VEGA Deutschland GmbH</t>
  </si>
  <si>
    <t>Python, SQL, Linux</t>
  </si>
  <si>
    <t>IT Inhouse Consultant (PEP / Material Master Data) (m/w/d)</t>
  </si>
  <si>
    <t>Mulfingen</t>
  </si>
  <si>
    <t>ebm-papst</t>
  </si>
  <si>
    <t>Python, Agile</t>
  </si>
  <si>
    <t>Data Engineering Consultant</t>
  </si>
  <si>
    <t>Python, SQL, Excel, Machine Learning, Deep Learning, Agile, Scrum</t>
  </si>
  <si>
    <t>Data Engineer (m/f/t)</t>
  </si>
  <si>
    <t>Sport Alliance GmbH</t>
  </si>
  <si>
    <t>Python, SQL, Machine Learning, Deep Learning, Git</t>
  </si>
  <si>
    <t>Business Intelligence Developer/Data Warehouse (m/w/d)</t>
  </si>
  <si>
    <t>Business Intelligence- /Data Warehouse-Entwickler (w/m/d)</t>
  </si>
  <si>
    <t>Saarbrücken</t>
  </si>
  <si>
    <t>Möbel Martin GmbH &amp; Co. KG</t>
  </si>
  <si>
    <t>2,8</t>
  </si>
  <si>
    <t>vor 9 Tagen</t>
  </si>
  <si>
    <t>Data Engineer (m/w/d)</t>
  </si>
  <si>
    <t>Just Spices GmbH</t>
  </si>
  <si>
    <t>Praktikum: Cost of Non Quality Data analyst &amp; programming (m...</t>
  </si>
  <si>
    <t>Donauwörth</t>
  </si>
  <si>
    <t>Airbus</t>
  </si>
  <si>
    <t>Excel, Statistic</t>
  </si>
  <si>
    <t>Business Intelligence (BI) / Data Analyst (m/w/d)</t>
  </si>
  <si>
    <t>Borken</t>
  </si>
  <si>
    <t>netgo GmbH</t>
  </si>
  <si>
    <t>Data Warehouse Development - Frankfurt (m/w/d)</t>
  </si>
  <si>
    <t>Business Consulting House GmbH &amp; Co. KG</t>
  </si>
  <si>
    <t>Business Intelligence Developer</t>
  </si>
  <si>
    <t>Trade Republic Bank GmbH</t>
  </si>
  <si>
    <t>DWH-BI ETL &amp; Big Data Architect (*)</t>
  </si>
  <si>
    <t>Schenker AG Head Office</t>
  </si>
  <si>
    <t>SQL, Agile, Scrum, Kanban</t>
  </si>
  <si>
    <t>Applift</t>
  </si>
  <si>
    <t>Data Analyst (m/f/d*)</t>
  </si>
  <si>
    <t>PlusDental</t>
  </si>
  <si>
    <t>3,0</t>
  </si>
  <si>
    <t>Junior Data Analytics Manager (m/w/d)</t>
  </si>
  <si>
    <t>Da Vinci Engineering GmbH</t>
  </si>
  <si>
    <t>Python, Linux</t>
  </si>
  <si>
    <t>Efiport GmbH: Data Engineer (all genders)</t>
  </si>
  <si>
    <t>Frankfurt School of Finance &amp; Management</t>
  </si>
  <si>
    <t>Business Intelligence Analyst - Global BI (m,f,x)</t>
  </si>
  <si>
    <t>Data &amp; Analytics - Solution Architect - MTC</t>
  </si>
  <si>
    <t>Python, SQL, Tableau, Machine Learning, Git</t>
  </si>
  <si>
    <t>Data Scientist - System und Logistikdaten (gn)</t>
  </si>
  <si>
    <t>Ottobrunn</t>
  </si>
  <si>
    <t>IABG</t>
  </si>
  <si>
    <t>Inhouse Consultant Business Intelligence (w/m/d)</t>
  </si>
  <si>
    <t>dm-drogerie markt</t>
  </si>
  <si>
    <t>Data Engineer / ETL-Entwickler (m/w/d)</t>
  </si>
  <si>
    <t>AXA Germany</t>
  </si>
  <si>
    <t>Business Intelligence Developer (m/f/d)</t>
  </si>
  <si>
    <t>Berlin-Friedrichshain</t>
  </si>
  <si>
    <t>DCMN</t>
  </si>
  <si>
    <t>Technology Architect – Data and Analytics - Cloud platforms</t>
  </si>
  <si>
    <t>Infosys Limited</t>
  </si>
  <si>
    <t>Python, SQL, Excel, Git, Agile</t>
  </si>
  <si>
    <t>Data Scientist (m|f|d)</t>
  </si>
  <si>
    <t>Sartorius Corporation</t>
  </si>
  <si>
    <t>Working students for GEA Business Intelligence in Dusseldorf...</t>
  </si>
  <si>
    <t>GBI Ingenieurgesellschaft für Management und Techn...</t>
  </si>
  <si>
    <t>Data Engineer - Python</t>
  </si>
  <si>
    <t>Python, SQL, Tableau, Git, Agile, Jira</t>
  </si>
  <si>
    <t>Machine Learning Engineer</t>
  </si>
  <si>
    <t>SiaSearch</t>
  </si>
  <si>
    <t>Plan D GmbH</t>
  </si>
  <si>
    <t>Python, SQL, Git, Agile</t>
  </si>
  <si>
    <t>eCommerce Data &amp; Business Analyst (m/f/d)</t>
  </si>
  <si>
    <t>IT Search</t>
  </si>
  <si>
    <t>Data Intelligence Architect (m/w/d) - fully remote!</t>
  </si>
  <si>
    <t>Harvey Nash GmbH</t>
  </si>
  <si>
    <t>Python, SQL, Git, Agile, Jira</t>
  </si>
  <si>
    <t>Data Engineer (f/m/d)</t>
  </si>
  <si>
    <t>Modis GmbH</t>
  </si>
  <si>
    <t>Junior Data Engineer (w/m/d)</t>
  </si>
  <si>
    <t>Otto Group Holding</t>
  </si>
  <si>
    <t>Data Analytics Spezialist (m/w/d)</t>
  </si>
  <si>
    <t>Cluster Reply</t>
  </si>
  <si>
    <t>Data Scientist / Data Analyst (m/w/d) Customer &amp; Market Anal...</t>
  </si>
  <si>
    <t>Winnenden</t>
  </si>
  <si>
    <t>Alfred Kärcher SE &amp; Co. KG</t>
  </si>
  <si>
    <t>Python Developer Working Student (m/f/d) - Industrial Data S...</t>
  </si>
  <si>
    <t>Smart Steel Technologies GmbH</t>
  </si>
  <si>
    <t>Python, SQL, Machine Learning, Statistic, Linux</t>
  </si>
  <si>
    <t>Technical Data Analyst (all genders welcome)</t>
  </si>
  <si>
    <t>Lingen</t>
  </si>
  <si>
    <t>ROSEN Group</t>
  </si>
  <si>
    <t>Excel</t>
  </si>
  <si>
    <t>Data Architect / Engineer</t>
  </si>
  <si>
    <t>DATA ANALYST/SCIENTIST (W/M/D)</t>
  </si>
  <si>
    <t>URGROW GmbH</t>
  </si>
  <si>
    <t>(Junior) Reporting Engineer / Data Analyst (m/w/d)</t>
  </si>
  <si>
    <t>Tableau</t>
  </si>
  <si>
    <t>Blue Reply</t>
  </si>
  <si>
    <t>Data Engineer – Business Intelligence (f/m/x)</t>
  </si>
  <si>
    <t>Tourlane</t>
  </si>
  <si>
    <t>Data Analyst mit Schwerpunkt Logistik (m/w/d)</t>
  </si>
  <si>
    <t>XXXLutz</t>
  </si>
  <si>
    <t>2,9</t>
  </si>
  <si>
    <t>Data Analytics</t>
  </si>
  <si>
    <t>Python, Machine Learning, Agile, Scrum</t>
  </si>
  <si>
    <t>Business Intelligence Analyst (m/w/d)</t>
  </si>
  <si>
    <t>Entyre GmbH</t>
  </si>
  <si>
    <t>Dreilinden</t>
  </si>
  <si>
    <t>eBay Inc.</t>
  </si>
  <si>
    <t>SQL, Excel, Linux</t>
  </si>
  <si>
    <t>Business Intelligence Developer Data Warehouse und Data Anal...</t>
  </si>
  <si>
    <t>Hannover Rück</t>
  </si>
  <si>
    <t>Business Intelligence Analyst (f/m/x)</t>
  </si>
  <si>
    <t>AUTO1</t>
  </si>
  <si>
    <t>SQL, Tableau, Statistic, Git</t>
  </si>
  <si>
    <t>Strategic Marketing Analyst (m/f/x)</t>
  </si>
  <si>
    <t>DHL Supply Chain Management GmbH</t>
  </si>
  <si>
    <t>(Junior) Analytics Expert (m/f/d)</t>
  </si>
  <si>
    <t>Bad Homburg vor der Höhe</t>
  </si>
  <si>
    <t>Fresenius Kabi</t>
  </si>
  <si>
    <t>Python, SQL, Excel, Machine Learning</t>
  </si>
  <si>
    <t>Junior Analyst EU Power &amp; Carbon Markets</t>
  </si>
  <si>
    <t>RELX Group</t>
  </si>
  <si>
    <t>(Junior) Consultant Business Intelligence (m/w/d) Österreich</t>
  </si>
  <si>
    <t>3,068 € pro Monat</t>
  </si>
  <si>
    <t>Monat</t>
  </si>
  <si>
    <t>Junior Analyst, Professional Services (Graduate)</t>
  </si>
  <si>
    <t>Medallia, Inc.</t>
  </si>
  <si>
    <t>Allendorf</t>
  </si>
  <si>
    <t>GP One GmbH</t>
  </si>
  <si>
    <t>Data Engineer - EU Workforce Staffing team</t>
  </si>
  <si>
    <t>Amazon Logistik Potsdam GmbH</t>
  </si>
  <si>
    <t>Python, SQL, Excel, Deep Learning</t>
  </si>
  <si>
    <t>3,6</t>
  </si>
  <si>
    <t>Data Analyst - Product BI (f/m/d)</t>
  </si>
  <si>
    <t>Delivery Hero</t>
  </si>
  <si>
    <t>SQL, Tableau, Git</t>
  </si>
  <si>
    <t>Praktikum - Makers Garage (Data Science &amp; Analytics)</t>
  </si>
  <si>
    <t>Customer Data Architect (m/w/d) im Bereich IT Data &amp; Analyti...</t>
  </si>
  <si>
    <t>Sankt Wendel</t>
  </si>
  <si>
    <t>Globus Koordination</t>
  </si>
  <si>
    <t>Data Centre Engineer (m/f/d) – Career Transition Programme</t>
  </si>
  <si>
    <t>Equinix</t>
  </si>
  <si>
    <t>PeopleDoc - Berlin</t>
  </si>
  <si>
    <t>SQL, Tableau, Agile</t>
  </si>
  <si>
    <t>Working Student in IT – Digital Office (m/f/d)</t>
  </si>
  <si>
    <t>Statkraft</t>
  </si>
  <si>
    <t>Python, Excel, Git</t>
  </si>
  <si>
    <t>IT Berater(in) / Entwickler(in) für Business Intelligence (B...</t>
  </si>
  <si>
    <t>Beckum</t>
  </si>
  <si>
    <t>Wolfgang Westarp GmbH</t>
  </si>
  <si>
    <t>Junior Consultant Artificial Intelligence (m/w/d)</t>
  </si>
  <si>
    <t>Python, Git</t>
  </si>
  <si>
    <t>Capgemini Invent: (Associate) Consultant (m/w/d) Insights Dr...</t>
  </si>
  <si>
    <t>Capgemini</t>
  </si>
  <si>
    <t>Technology Consultant (w/m/d) Data Science &amp; Analytics</t>
  </si>
  <si>
    <t>Campana &amp; Schott Business Services GmbH</t>
  </si>
  <si>
    <t>Python, Excel, Machine Learning, Git</t>
  </si>
  <si>
    <t>Data Warehouse Engineer (all genders)</t>
  </si>
  <si>
    <t>Goodgame Studios</t>
  </si>
  <si>
    <t>Consultant Data Science (m/w/d)</t>
  </si>
  <si>
    <t>Marketing Data Analyst (m/w/d)</t>
  </si>
  <si>
    <t>MediaMarktSaturn Marketing</t>
  </si>
  <si>
    <t>Junior Data Analyst*</t>
  </si>
  <si>
    <t>Gameforge</t>
  </si>
  <si>
    <t>Data Architect BI &amp; Data Warehouse Automotive (m/w/d)</t>
  </si>
  <si>
    <t>SQL, Agile, Scrum</t>
  </si>
  <si>
    <t>Mister Spex GmbH</t>
  </si>
  <si>
    <t>Data-Enthusiast for Business Analytics Consulting (m/w/d)</t>
  </si>
  <si>
    <t>reeeliance</t>
  </si>
  <si>
    <t>Python, SQL, Tableau, Git, Agile, Scrum, Kanban</t>
  </si>
  <si>
    <t>Junior Growth Consultant (Retention &amp; CRM) (m/f/d)</t>
  </si>
  <si>
    <t>Berlin-Kreuzberg</t>
  </si>
  <si>
    <t>Phiture</t>
  </si>
  <si>
    <t>Python, SQL, Excel, Statistic, Git</t>
  </si>
  <si>
    <t>Artificial Intelligence Expert</t>
  </si>
  <si>
    <t>Alldus</t>
  </si>
  <si>
    <t>Data Science - Professionals (w/m/d)</t>
  </si>
  <si>
    <t>Miebach Consulting</t>
  </si>
  <si>
    <t>Data Analyst with Remote Sensing Expertise (gn)</t>
  </si>
  <si>
    <t>Freiburg</t>
  </si>
  <si>
    <t>UNIQUE forestry and land use</t>
  </si>
  <si>
    <t>IT Business Analyst with testing skills for our Enterprise D...</t>
  </si>
  <si>
    <t>Raiffeisen Capital Management</t>
  </si>
  <si>
    <t>60,000 € pro Jahr</t>
  </si>
  <si>
    <t>SQL, Git, Scrum</t>
  </si>
  <si>
    <t>Data Warehouse / BI Specialist</t>
  </si>
  <si>
    <t>NGENA</t>
  </si>
  <si>
    <t>Student worker Opportunities for Students in Germany: Softwa...</t>
  </si>
  <si>
    <t>Excel, Machine Learning</t>
  </si>
  <si>
    <t>BI &amp; Data Analytics Solution Architect (f/m/d)</t>
  </si>
  <si>
    <t>Aquila Group</t>
  </si>
  <si>
    <t>JUNIOR IT CONSULTANT BUSINESS INTELLIGENCE (w/m/d)</t>
  </si>
  <si>
    <t>Target Reply</t>
  </si>
  <si>
    <t>Oviva</t>
  </si>
  <si>
    <t>Business Intelligence Developer (w/m/divers)</t>
  </si>
  <si>
    <t>Junior Developer</t>
  </si>
  <si>
    <t>Cornerstone OnDemand, Inc.</t>
  </si>
  <si>
    <t>Apprenticeship</t>
  </si>
  <si>
    <t>Platforms and Solutions Architect Research (f/m/d)</t>
  </si>
  <si>
    <t>Philips</t>
  </si>
  <si>
    <t>Python, Excel, Deep Learning, Git, Linux</t>
  </si>
  <si>
    <t>Praktikum Data Analytics IT-Prozessmanagement</t>
  </si>
  <si>
    <t>FINMAS GmbH</t>
  </si>
  <si>
    <t>Product Data Analyst (Topic leader within Amplitude)</t>
  </si>
  <si>
    <t>Darwin Recruitment</t>
  </si>
  <si>
    <t>vor 25 Tagen</t>
  </si>
  <si>
    <t>Business Analyst / Data Analyst (m/w/d) Marketing</t>
  </si>
  <si>
    <t>VPV Lebensversicherungs AG</t>
  </si>
  <si>
    <t>accantec group</t>
  </si>
  <si>
    <t>Junior Data Science Consultant Life Science (x/f/m)</t>
  </si>
  <si>
    <t>idalab GmbH</t>
  </si>
  <si>
    <t>Data Operation Analyst (f/m/d)</t>
  </si>
  <si>
    <t>Consultant / Datenpionier Data and Analytics (m/w/d)</t>
  </si>
  <si>
    <t>PPI Aktiengesellschaft</t>
  </si>
  <si>
    <t>Internship - Digital Analytics &amp; Consumer Insights (m/f/d)</t>
  </si>
  <si>
    <t>SQL, Tableau, Excel, Git</t>
  </si>
  <si>
    <t>PraktikantIn Data Science &amp; Management Consulting (m/f/x)</t>
  </si>
  <si>
    <t>Celonis</t>
  </si>
  <si>
    <t>2279 - Junior Consultant - Real World Analytics</t>
  </si>
  <si>
    <t>Cytel, Ingress-Health HWM GmbH</t>
  </si>
  <si>
    <t>Data Engineer - Data Lake (f/m/x)</t>
  </si>
  <si>
    <t>Python, Git, Agile</t>
  </si>
  <si>
    <t>Werkstudent (w/m/d) Data &amp; Analytics</t>
  </si>
  <si>
    <t>adesso SE</t>
  </si>
  <si>
    <t>1,7</t>
  </si>
  <si>
    <t>Research Software Engineer for advanced image annotation too...</t>
  </si>
  <si>
    <t>Deutsches Krebsforschungszentrum</t>
  </si>
  <si>
    <t>8346: Dualer Master (m/w/d) als Junior Change Manager im Ber...</t>
  </si>
  <si>
    <t>Steinbeis Center of Management and Technology GmbH</t>
  </si>
  <si>
    <t>Data Architect (m/f/x)</t>
  </si>
  <si>
    <t>CarOnSale</t>
  </si>
  <si>
    <t>Daten Analyst &amp; Reporting Spezialist (m/w/d)</t>
  </si>
  <si>
    <t>UniCredit Bank</t>
  </si>
  <si>
    <t>Marketing Intelligence Analyst (m/w/d)</t>
  </si>
  <si>
    <t>IUBH Internationale Hochschule GmbH</t>
  </si>
  <si>
    <t>Aquila Capital</t>
  </si>
  <si>
    <t>(Erfahrener) Berater Data &amp; Analytics Strategie (w/m/d)</t>
  </si>
  <si>
    <t>Python, SQL, Tableau, Machine Learning, Agile, Scrum, Kanban</t>
  </si>
  <si>
    <t>Index Analyst (m/f/d)</t>
  </si>
  <si>
    <t>Solactive AG</t>
  </si>
  <si>
    <t>VP Data Intelligence</t>
  </si>
  <si>
    <t>CLARK</t>
  </si>
  <si>
    <t>SQL, Tableau, Statistic, Git, Agile</t>
  </si>
  <si>
    <t>Werkstudent (w/m/d) Vertrieb und Marketing von Data Analytic...</t>
  </si>
  <si>
    <t>Wegberg</t>
  </si>
  <si>
    <t>Data Analyst Hotels &amp; Resorts (m/w/d)</t>
  </si>
  <si>
    <t>Berater Business Intelligence (w/m/d) (Data Engineer/Scienti...</t>
  </si>
  <si>
    <t>initions AG</t>
  </si>
  <si>
    <t>Python, SQL, Tableau, Machine Learning, Git, Linux, Jira</t>
  </si>
  <si>
    <t>Praktikant / Werkstudent (m/w/d) Business Intelligence &amp; Dat...</t>
  </si>
  <si>
    <t>Connox GmbH</t>
  </si>
  <si>
    <t>Praktikant (m/w/d) für 6 Monate im Bereich Business Intellig...</t>
  </si>
  <si>
    <t>Allianz Private Krankenversicherungs-AG</t>
  </si>
  <si>
    <t>Head of Data Science &amp; Analytics (m/w/d)</t>
  </si>
  <si>
    <t>Krefeld</t>
  </si>
  <si>
    <t>Fressnapf Tiernahrungs GmbH</t>
  </si>
  <si>
    <t>Python, SQL, Machine Learning, Statistic, Git, Agile</t>
  </si>
  <si>
    <t>2,6</t>
  </si>
  <si>
    <t>Datenbank- / SQL-Entwickler* Data Warehouse</t>
  </si>
  <si>
    <t>HANSAINVEST</t>
  </si>
  <si>
    <t>Junior Consultant - Digital Transformation &amp; Ethics (m/w/d)</t>
  </si>
  <si>
    <t>idigiT - Institute for Digital Transformation in H...</t>
  </si>
  <si>
    <t>BCG Omnia - Topic Analyst, Financial Institutions</t>
  </si>
  <si>
    <t>The Boston Consulting Group</t>
  </si>
  <si>
    <t>Python, SQL, Tableau, Excel, Statistic, Git</t>
  </si>
  <si>
    <t>Data Scientist Consultant (m/w/x)</t>
  </si>
  <si>
    <t>MA Data Consulting GmbH</t>
  </si>
  <si>
    <t>Python, SQL, Git, Agile, Scrum</t>
  </si>
  <si>
    <t>Game Data Analyst</t>
  </si>
  <si>
    <t>Wooga</t>
  </si>
  <si>
    <t>Business Analyst - All Levels</t>
  </si>
  <si>
    <t>Praktikant Data Mining</t>
  </si>
  <si>
    <t>LIMO GmbH</t>
  </si>
  <si>
    <t>Data Architect (m/f/d)</t>
  </si>
  <si>
    <t>PaulCamper GmbH</t>
  </si>
  <si>
    <t>Data Engineer Business Intelligence (Google Cloud) (m/w/d)</t>
  </si>
  <si>
    <t>Aschaffenburg</t>
  </si>
  <si>
    <t>Sunlab GmbH</t>
  </si>
  <si>
    <t>Business Intelligence Engineer</t>
  </si>
  <si>
    <t>Quadient</t>
  </si>
  <si>
    <t>pioneer communications</t>
  </si>
  <si>
    <t>Praktikant Performance Management / Report and Data Analytic...</t>
  </si>
  <si>
    <t>Sky Deutschland</t>
  </si>
  <si>
    <t>Vaihingen an der Enz</t>
  </si>
  <si>
    <t>Axiologic Solutions</t>
  </si>
  <si>
    <t>Data Developer (m/w/d)</t>
  </si>
  <si>
    <t>bonprix</t>
  </si>
  <si>
    <t>Professional Data Management (m/f/d)</t>
  </si>
  <si>
    <t>Python, SQL, Machine Learning, Deep Learning, Git, Agile</t>
  </si>
  <si>
    <t>Backend Student Developer (M/F/D)</t>
  </si>
  <si>
    <t>SIDESTREAM</t>
  </si>
  <si>
    <t>Database Developer</t>
  </si>
  <si>
    <t>Serco Europe</t>
  </si>
  <si>
    <t>SQL, Excel, Agile</t>
  </si>
  <si>
    <t>Business Intelligence Analyst (f/m/d)</t>
  </si>
  <si>
    <t>Data Engineer (w/m/d)</t>
  </si>
  <si>
    <t>KM.ON</t>
  </si>
  <si>
    <t>Data Scientist (m/w/D)</t>
  </si>
  <si>
    <t>Gotha</t>
  </si>
  <si>
    <t>Finanz-DATA</t>
  </si>
  <si>
    <t>Data Science Consultant</t>
  </si>
  <si>
    <t>Python, SQL, Excel, Machine Learning, Statistic</t>
  </si>
  <si>
    <t>Software Developer for Terma Space (m/f)</t>
  </si>
  <si>
    <t>Junior IoT Analytics Engineer</t>
  </si>
  <si>
    <t>Python, SQL, Machine Learning, Deep Learning</t>
  </si>
  <si>
    <t>Senior IT Business Data Analyst (f/m/d)</t>
  </si>
  <si>
    <t>Ismaning</t>
  </si>
  <si>
    <t>Essity</t>
  </si>
  <si>
    <t>Praktikum Data Analytics (d/m/w)</t>
  </si>
  <si>
    <t>Python, SQL, Google Sheets, Git</t>
  </si>
  <si>
    <t>(Senior) Data Analyst (f/m/d)</t>
  </si>
  <si>
    <t>Fidor Bank</t>
  </si>
  <si>
    <t>Python, SQL, Tableau, Statistic, Git</t>
  </si>
  <si>
    <t>Data Center Consultant, Mainframe, Google Cloud</t>
  </si>
  <si>
    <t>Junior Data Analyst *</t>
  </si>
  <si>
    <t>myToys.de</t>
  </si>
  <si>
    <t>Amazon EU SARL(Germany Branch)</t>
  </si>
  <si>
    <t>SQL Developer (m/w/d)</t>
  </si>
  <si>
    <t>C4 Connect Hamburg KG</t>
  </si>
  <si>
    <t>International Access Point, Business Intelligence Engineer</t>
  </si>
  <si>
    <t>Backend Developer Financial Data Analytics (f/m/d)</t>
  </si>
  <si>
    <t>IconicFinance GmbH</t>
  </si>
  <si>
    <t>Python, Machine Learning, Agile, Scrum, Kanban</t>
  </si>
  <si>
    <t>Praktikant Predictive Excellence Solutions und Data Science...</t>
  </si>
  <si>
    <t>Data Logistics Consultant (m/f/x)</t>
  </si>
  <si>
    <t>46,000 € pro Jahr</t>
  </si>
  <si>
    <t>Excel, Git, Agile</t>
  </si>
  <si>
    <t>Jungheinrich</t>
  </si>
  <si>
    <t>Data Engineer (m/f/x) at CyberSolutions</t>
  </si>
  <si>
    <t>Hubert Burda Media</t>
  </si>
  <si>
    <t>Expert (m/w/d) Business Intelligence &amp; Data Warehouse</t>
  </si>
  <si>
    <t>ING-DiBa AG</t>
  </si>
  <si>
    <t>Software Developer / Data Analyst (m/w/d)</t>
  </si>
  <si>
    <t>FEV Software &amp; Testing Solutions GmbH</t>
  </si>
  <si>
    <t>Python, SQL, Git, Agile, Scrum, Jira</t>
  </si>
  <si>
    <t>Data analyst for Next Generation Sequencing (NGS) - m|f|d</t>
  </si>
  <si>
    <t>Bergisch Gladbach</t>
  </si>
  <si>
    <t>Miltenyi Biotec B.V. &amp; Co. KG</t>
  </si>
  <si>
    <t>Python, Statistic, Linux</t>
  </si>
  <si>
    <t>(Junior) Consultant Data Engineering (m/w/d)</t>
  </si>
  <si>
    <t>Reporting Analyst m/w/d Eschborn</t>
  </si>
  <si>
    <t>ConCardis GmbH</t>
  </si>
  <si>
    <t>Data Scientist - Python</t>
  </si>
  <si>
    <t>Michael Bailey Associates</t>
  </si>
  <si>
    <t>(Junior) Data Scientist (m/w/d) zur Erstellung von Lerninhal...</t>
  </si>
  <si>
    <t>StackFuel GmbH</t>
  </si>
  <si>
    <t>Data-Warehouse-Systemspezialist (m/w/d) Business Intelligenc...</t>
  </si>
  <si>
    <t>BITMARCK Holding</t>
  </si>
  <si>
    <t>Intern Project Management Football Data (m/w/d)</t>
  </si>
  <si>
    <t>DFL Deutsche Fußball Liga GmbH</t>
  </si>
  <si>
    <t>Excel, Agile</t>
  </si>
  <si>
    <t>Data Analyst Digital Marketing (m/w/d)</t>
  </si>
  <si>
    <t>segmenta communications GmbH</t>
  </si>
  <si>
    <t>EU Employee Relations Data Analyst</t>
  </si>
  <si>
    <t>Amazon Deutschland Trans GmbH</t>
  </si>
  <si>
    <t>Tableau, Excel, Statistic</t>
  </si>
  <si>
    <t>Data Analyst (m/w/d) Nachhaltigkeit</t>
  </si>
  <si>
    <t>Vestenbergsgreuth</t>
  </si>
  <si>
    <t>Martin Bauer Group</t>
  </si>
  <si>
    <t>Senior Consultant Data Science (m/w/d)</t>
  </si>
  <si>
    <t>Data Scientist (m/f/div)</t>
  </si>
  <si>
    <t>ELEMENT Insurance AG</t>
  </si>
  <si>
    <t>Python, SQL, Tableau, Machine Learning, Statistic, Git, Agile</t>
  </si>
  <si>
    <t>Business Analyst (m/f/d)</t>
  </si>
  <si>
    <t>Rottendorf</t>
  </si>
  <si>
    <t>s.Oliver Group</t>
  </si>
  <si>
    <t>Statistic, Git</t>
  </si>
  <si>
    <t>Working student - Junior Consultant- Digital Transformation</t>
  </si>
  <si>
    <t>1&amp;1 Telecommunication SE</t>
  </si>
  <si>
    <t>Regen</t>
  </si>
  <si>
    <t>Schock GmbH</t>
  </si>
  <si>
    <t>SQL, Machine Learning</t>
  </si>
  <si>
    <t>Data Scientist (m/w/d) – Advanced Analytics</t>
  </si>
  <si>
    <t>McKinsey &amp; Company</t>
  </si>
  <si>
    <t>Business Intelligence (BI) - Data Analyst Developer (gn)</t>
  </si>
  <si>
    <t>SoftwareONE</t>
  </si>
  <si>
    <t>Data Engineer (m/f/d)</t>
  </si>
  <si>
    <t>Full-time opportunities for students &amp; recent graduates: Tec...</t>
  </si>
  <si>
    <t>Excel, Machine Learning, Git</t>
  </si>
  <si>
    <t>Starcom - Trainee Data &amp; Analytics (m/w/d) - Frankfurt</t>
  </si>
  <si>
    <t>Starcom</t>
  </si>
  <si>
    <t>Data Warehouse Reporting Spezialist (m/w/d)</t>
  </si>
  <si>
    <t>Görgeshausen</t>
  </si>
  <si>
    <t>Business Intelligence &amp; Data Engineer (m/w/d)</t>
  </si>
  <si>
    <t>Verivox GmbH</t>
  </si>
  <si>
    <t>DataOps Engineer Business Intelligence – Azure (m/f/d)</t>
  </si>
  <si>
    <t>Marquard &amp; Bahls AG</t>
  </si>
  <si>
    <t>Python, SQL, Machine Learning, Agile, Scrum</t>
  </si>
  <si>
    <t>Bioinformatician, Computational Biologist - Omics Data (m/f/...</t>
  </si>
  <si>
    <t>Proteome Sciences R&amp;D GmbH &amp; Co KG</t>
  </si>
  <si>
    <t>Python, Excel, Machine Learning, Statistic</t>
  </si>
  <si>
    <t>QuinScape GmbH</t>
  </si>
  <si>
    <t>Data Scientist / Data Engineer</t>
  </si>
  <si>
    <t>Python, Tableau, Excel, Machine Learning, Statistic</t>
  </si>
  <si>
    <t>Data Pipeline Engineer</t>
  </si>
  <si>
    <t>TMP Worldwide Advertising &amp; Communications, LLC</t>
  </si>
  <si>
    <t>Statistical Analyst (m/f/d)</t>
  </si>
  <si>
    <t>Leverkusen</t>
  </si>
  <si>
    <t>Data Scientist Natural Language Understanding (m/f/d)</t>
  </si>
  <si>
    <t>Cauliflower GmbH &amp; Co. KG</t>
  </si>
  <si>
    <t>Python, SQL, Tableau, Deep Learning</t>
  </si>
  <si>
    <t>BI Analyst (m/f/d)</t>
  </si>
  <si>
    <t>Moonfare</t>
  </si>
  <si>
    <t>Visable GmbH</t>
  </si>
  <si>
    <t>Data Analytics Consultant (w/m/d)</t>
  </si>
  <si>
    <t>Digital Motion</t>
  </si>
  <si>
    <t>Python, SQL, Tableau, Git, Agile</t>
  </si>
  <si>
    <t>Junior Consultant (m/w/d) Data Engineer (Frankfurt)</t>
  </si>
  <si>
    <t>integration-factory GmbH &amp; Co. KG</t>
  </si>
  <si>
    <t>Hackers Wanted: Big Data Engineer (m/w/d)</t>
  </si>
  <si>
    <t>agido GmbH</t>
  </si>
  <si>
    <t>Python, SQL, Tableau, Excel, Agile, Scrum</t>
  </si>
  <si>
    <t>taod Consulting GmbH</t>
  </si>
  <si>
    <t>Offenburg</t>
  </si>
  <si>
    <t>EDEKA Handelsgesellschaft Südwest mbH</t>
  </si>
  <si>
    <t>Data Scientist with Deep Learning proficiency (m/w/d)</t>
  </si>
  <si>
    <t>Enpal GmbH</t>
  </si>
  <si>
    <t>Python, Machine Learning, Deep Learning, Statistic, Git</t>
  </si>
  <si>
    <t>Business Intelligence Developer (m/w/d)</t>
  </si>
  <si>
    <t>Amazon Deutschland Servcs GmbH</t>
  </si>
  <si>
    <t>Business Intelligence Manager - EMEA+Latin America (m/f/d)</t>
  </si>
  <si>
    <t>Ratingen</t>
  </si>
  <si>
    <t>Johnson Controls</t>
  </si>
  <si>
    <t>Tableau, Excel</t>
  </si>
  <si>
    <t>Erlangen</t>
  </si>
  <si>
    <t>Thomann.io</t>
  </si>
  <si>
    <t>Data Scientist (w/m/d) Künstliche Intelligenz / Machine Lear...</t>
  </si>
  <si>
    <t>Oldenburg</t>
  </si>
  <si>
    <t>BTC AG</t>
  </si>
  <si>
    <t>Product Owner Data Analytics (m/w/d)</t>
  </si>
  <si>
    <t>Berlin-Charlottenburg</t>
  </si>
  <si>
    <t>Flaconi GmbH</t>
  </si>
  <si>
    <t>Python, SQL, Tableau, Excel, Agile</t>
  </si>
  <si>
    <t>Data Warehouse Developer (m/w/d)</t>
  </si>
  <si>
    <t>Ennepetal</t>
  </si>
  <si>
    <t>PAKi Logistics GmbH</t>
  </si>
  <si>
    <t>Abschlussarbeit - Fertigung „Data Analytics“</t>
  </si>
  <si>
    <t>Consultant / Developer Analytics, Data Sience, BI</t>
  </si>
  <si>
    <t>HR Corner &amp; Partner Personalberatung</t>
  </si>
  <si>
    <t>Data Scientist Online Analytics</t>
  </si>
  <si>
    <t>Digitaltreiber UG</t>
  </si>
  <si>
    <t>Solution Engineer Data (m/w/d)</t>
  </si>
  <si>
    <t>SIMunich GmbH</t>
  </si>
  <si>
    <t>Data Scientist Supply Chain Management (m/w/x)</t>
  </si>
  <si>
    <t>Mülheim an der Ruhr</t>
  </si>
  <si>
    <t>ALDI SÜD</t>
  </si>
  <si>
    <t>DATA SCIENTIST</t>
  </si>
  <si>
    <t>Vilua Arvato CRM Healthcare GmbH</t>
  </si>
  <si>
    <t>Consultant in Data Analytics &amp; Forensics (w/m/d)</t>
  </si>
  <si>
    <t>FERNAO Networks Holding GmbH</t>
  </si>
  <si>
    <t>Data Engineer (Metrics)</t>
  </si>
  <si>
    <t>TMP Worldwide</t>
  </si>
  <si>
    <t>Business Intelligence Developer (w/m/x)</t>
  </si>
  <si>
    <t>Halle (Westfalen)</t>
  </si>
  <si>
    <t>GERRY WEBER In­ter­na­tio­nal AG</t>
  </si>
  <si>
    <t>Business Intelligence Specialist / BI Entwickler (m/w/d)</t>
  </si>
  <si>
    <t>Frechen</t>
  </si>
  <si>
    <t>WhiteWall Media GmbH</t>
  </si>
  <si>
    <t>Reporting Engineer (M/W/D)</t>
  </si>
  <si>
    <t>Positive Thinking Company Deutschland GmbH</t>
  </si>
  <si>
    <t>Data Analyst für die Logistikplanung (m/w/d)</t>
  </si>
  <si>
    <t>Straubing</t>
  </si>
  <si>
    <t>Koch &amp; Holzapfel GmbH</t>
  </si>
  <si>
    <t>Tommy Hilfiger</t>
  </si>
  <si>
    <t>SQL, Tableau, Agile, Jira</t>
  </si>
  <si>
    <t>University Graduate Innovation &amp; Commercial Development inte...</t>
  </si>
  <si>
    <t>DHL Customer Solutions &amp; Innovation</t>
  </si>
  <si>
    <t>(Consumer) Data Engineer (m/w/d)</t>
  </si>
  <si>
    <t>Norderstedt</t>
  </si>
  <si>
    <t>Blume 2000</t>
  </si>
  <si>
    <t>Big Data Engineer</t>
  </si>
  <si>
    <t>Flint Data</t>
  </si>
  <si>
    <t>70,000 € - 75,000 € pro Jahr</t>
  </si>
  <si>
    <t>Analytical &amp; Data Visualization Developer (m/w/d)</t>
  </si>
  <si>
    <t>Business Analyst (m/w/d)</t>
  </si>
  <si>
    <t>CHRONEXT Service Germany GmbH</t>
  </si>
  <si>
    <t>Innovation Unit Data Steward</t>
  </si>
  <si>
    <t>Web Analyst (m/f/d) Marketing Europe</t>
  </si>
  <si>
    <t>ADLER Vertriebs GmbH &amp; Co. Werbegeschenke KG</t>
  </si>
  <si>
    <t>SQL, Excel, Statistic</t>
  </si>
  <si>
    <t>Junior Consultant BI, Big Data, IoT (m/w/d)</t>
  </si>
  <si>
    <t>msg systems</t>
  </si>
  <si>
    <t>4,6</t>
  </si>
  <si>
    <t>Deutsche Bundesbank</t>
  </si>
  <si>
    <t>real,- Digital Payment &amp; Technology Services GmbH</t>
  </si>
  <si>
    <t>Python, SQL, Git, Linux</t>
  </si>
  <si>
    <t>die kartenmacherei GmbH</t>
  </si>
  <si>
    <t>Junior Data Analyst / BI Manager (m/w/d)</t>
  </si>
  <si>
    <t>Mobile Trend GmbH</t>
  </si>
  <si>
    <t>Graduate Analyst (m/f/x), Cohort Marketing</t>
  </si>
  <si>
    <t>Wayfair</t>
  </si>
  <si>
    <t>HRS Group</t>
  </si>
  <si>
    <t>Python, Excel</t>
  </si>
  <si>
    <t>Working Student - Pricing &amp; Market Making - Business Analyse...</t>
  </si>
  <si>
    <t>Deutsche Börse</t>
  </si>
  <si>
    <t>Reporting Analyst (m/w/d)</t>
  </si>
  <si>
    <t>Concardis GmbH</t>
  </si>
  <si>
    <t>Marketing Analyst (f/m/d)</t>
  </si>
  <si>
    <t>Data Scientist Pricing (f/m/d)</t>
  </si>
  <si>
    <t>SHARE NOW</t>
  </si>
  <si>
    <t>Python, Tableau, Statistic, Agile</t>
  </si>
  <si>
    <t>(Senior) Data Analyst/-Engineer</t>
  </si>
  <si>
    <t>VEACT GmbH</t>
  </si>
  <si>
    <t>Data Integrator w/ TS Clearance</t>
  </si>
  <si>
    <t>Data &amp; AI Engineer (w/m/d)</t>
  </si>
  <si>
    <t>Synbionik GmbH</t>
  </si>
  <si>
    <t>biGenius™ - Business Intelligence Consultant (m/w/d)</t>
  </si>
  <si>
    <t>Trivadis</t>
  </si>
  <si>
    <t>BI Analyst</t>
  </si>
  <si>
    <t>68,000 € - 75,000 € pro Jahr</t>
  </si>
  <si>
    <t>Landsberg</t>
  </si>
  <si>
    <t>Python, SQL, Machine Learning, Linux</t>
  </si>
  <si>
    <t>Data Management Analyst (m/w/d)</t>
  </si>
  <si>
    <t>BASF Services Europe GmbH</t>
  </si>
  <si>
    <t>Data engineer business intelligence (M/W/D)</t>
  </si>
  <si>
    <t>Process Analytics Factory GmbH</t>
  </si>
  <si>
    <t>Werkstudent für Data Engineering im Bereich Supply-Chain-Ana...</t>
  </si>
  <si>
    <t>Ingolstadt</t>
  </si>
  <si>
    <t>MediaMarktSaturn Technology</t>
  </si>
  <si>
    <t>Data Scientist &amp; Developer:in [m/w/d] | Expert:in für mutige...</t>
  </si>
  <si>
    <t>WAYS GmbH</t>
  </si>
  <si>
    <t>Data Analyst/Power BI Specialist (m/f/d)</t>
  </si>
  <si>
    <t>Berlin-Mitte</t>
  </si>
  <si>
    <t>Berlin Brands Group</t>
  </si>
  <si>
    <t>Expert Applied Mathematics (m/w/d)</t>
  </si>
  <si>
    <t>Advantest</t>
  </si>
  <si>
    <t>(JUNIOR) DATA SCIENTIST (m/w/d)</t>
  </si>
  <si>
    <t>Synamic Technologies</t>
  </si>
  <si>
    <t>Machine Learning, Git</t>
  </si>
  <si>
    <t>Digital Data Analyst (f/m/x)</t>
  </si>
  <si>
    <t>diconium group</t>
  </si>
  <si>
    <t>Studentische Hilfskraft / Praktikant (m/w/d) für das Projekt...</t>
  </si>
  <si>
    <t>Hildburghausen</t>
  </si>
  <si>
    <t>REGIOMED-KLINIKEN GmbH</t>
  </si>
  <si>
    <t>Data Scientist / ML engineer</t>
  </si>
  <si>
    <t>Codepan GmbH</t>
  </si>
  <si>
    <t>Mitarbeiter (m|w|d) Production-Data-Management</t>
  </si>
  <si>
    <t>Data Research Team Lead - Life Sciences</t>
  </si>
  <si>
    <t>Veeva Systems</t>
  </si>
  <si>
    <t>(Technical) Pricing Analyst (m/w/d)</t>
  </si>
  <si>
    <t>Nordrhein-Westfalen</t>
  </si>
  <si>
    <t>Berner Trading Holding GmbH</t>
  </si>
  <si>
    <t>Manager Risk Data &amp; Reporting (m/w/d)</t>
  </si>
  <si>
    <t>Tableau, Git, Agile</t>
  </si>
  <si>
    <t>Big Data Analyst (gerne auch Junior) (m/w)</t>
  </si>
  <si>
    <t>iPAXX</t>
  </si>
  <si>
    <t>Werkstudent (m/w/d) Data &amp; Analytics</t>
  </si>
  <si>
    <t>Ceteris AG</t>
  </si>
  <si>
    <t>Process Expert Data Integrity (m/w/d) - ALCOA, cGMP, biophar</t>
  </si>
  <si>
    <t>BI specialist (internal) focus on data visualization</t>
  </si>
  <si>
    <t>Paessler AG</t>
  </si>
  <si>
    <t>Data Engineer (m/w /d )</t>
  </si>
  <si>
    <t>Junior Consultant Business Intelligence (m/w/d)</t>
  </si>
  <si>
    <t>wandelbots</t>
  </si>
  <si>
    <t>Münster</t>
  </si>
  <si>
    <t>Westphalia DataLab GmbH</t>
  </si>
  <si>
    <t>(Junior) Data Engineer – BI Plattform Developer (m/w/d)</t>
  </si>
  <si>
    <t>ZIEGERT ‒ Bank- und Immobilienconsulting GmbH</t>
  </si>
  <si>
    <t>Werkstudent Data Analytics &amp; Digital Transformation Manageme...</t>
  </si>
  <si>
    <t>DMA Solutions GmbH</t>
  </si>
  <si>
    <t>Python, Git, Agile, Scrum</t>
  </si>
  <si>
    <t>Process Analyst</t>
  </si>
  <si>
    <t>Process&amp; GmbH</t>
  </si>
  <si>
    <t>BTC Business Technology Consulting</t>
  </si>
  <si>
    <t>Data Analyst / Digital Analyst E-Commerce (m/w/d)</t>
  </si>
  <si>
    <t>Snipes SE</t>
  </si>
  <si>
    <t>Junior Consultant Digital Transformation (m/w/d)</t>
  </si>
  <si>
    <t>Product Analyst (m/f/x)</t>
  </si>
  <si>
    <t>Homeday GmbH</t>
  </si>
  <si>
    <t>SQL, Tableau, Machine Learning, Git</t>
  </si>
  <si>
    <t>Data Scientist*in / Data Analyst*in</t>
  </si>
  <si>
    <t>Kassenärztliche Vereinigung Berlin</t>
  </si>
  <si>
    <t>Universitätsklinikum Freiburg</t>
  </si>
  <si>
    <t>Gütersloh</t>
  </si>
  <si>
    <t>direct services Gütersloh GmbH – BPG IT</t>
  </si>
  <si>
    <t>Big Data Architect</t>
  </si>
  <si>
    <t>STI-Consulting</t>
  </si>
  <si>
    <t>(JUNIOR) CONSULTANT BUSINESS INTELLIGENCE (M/W/D)</t>
  </si>
  <si>
    <t>ISR Information Products</t>
  </si>
  <si>
    <t>Junior Product Analyst (m/f/d)</t>
  </si>
  <si>
    <t>heycar</t>
  </si>
  <si>
    <t>Python, SQL, Tableau, Excel, Statistic, Git, Agile</t>
  </si>
  <si>
    <t>Werkstudent Artificial Intelligence &amp; Data Analytics (m/w/d)</t>
  </si>
  <si>
    <t>Machine Learning, Agile, Scrum</t>
  </si>
  <si>
    <t>vor 27 Tagen</t>
  </si>
  <si>
    <t>Data Analyst (m/w/d) Leadmanagement und Datenanalyse</t>
  </si>
  <si>
    <t>Ludwigsburg</t>
  </si>
  <si>
    <t>Wüstenrot &amp; Württembergische</t>
  </si>
  <si>
    <t>Business Data Analyst</t>
  </si>
  <si>
    <t>SHERPANY</t>
  </si>
  <si>
    <t>Excel, Google Sheets, Statistic, Git</t>
  </si>
  <si>
    <t>Trainee Data Science &amp; BI-Consulting (m/w/d)</t>
  </si>
  <si>
    <t>DYMATRIX CONSULTING GROUP GmbH</t>
  </si>
  <si>
    <t>Data Engineer (f/m/x)</t>
  </si>
  <si>
    <t>WorkingStudent (f/m/d) Product Analytics</t>
  </si>
  <si>
    <t>Data Architect (m/w/d)</t>
  </si>
  <si>
    <t>Georg Thieme Verlag</t>
  </si>
  <si>
    <t>ÖRAG-Gesellschaften</t>
  </si>
  <si>
    <t>Social Media Analyst (f/m/d)</t>
  </si>
  <si>
    <t>Divimove GmbH</t>
  </si>
  <si>
    <t>2,7</t>
  </si>
  <si>
    <t>Data Analytics Manager (f/m/d)</t>
  </si>
  <si>
    <t>Business Analyst Data (m/w/d)</t>
  </si>
  <si>
    <t>Baloise Group</t>
  </si>
  <si>
    <t>ella media GmbH</t>
  </si>
  <si>
    <t>Data Warehouse / BI Junior Architekt (m/w/d)</t>
  </si>
  <si>
    <t>Braincourt</t>
  </si>
  <si>
    <t>Data Architect Business Intelligence &amp; Data Warehouse (m/w/d...</t>
  </si>
  <si>
    <t>AKRA</t>
  </si>
  <si>
    <t>SQL, Machine Learning, Agile, Scrum, Kanban</t>
  </si>
  <si>
    <t>Digital Analytics Consultant</t>
  </si>
  <si>
    <t>Working Student/Internship Data Efficiency &amp; Analytics (m/f/...</t>
  </si>
  <si>
    <t>Database and Business Intelligence Software Developer (m/w/d...</t>
  </si>
  <si>
    <t>Ulm</t>
  </si>
  <si>
    <t>Trumpf</t>
  </si>
  <si>
    <t>Junior Data Visualisation Developer (m/f/d)</t>
  </si>
  <si>
    <t>Betterfront Technologies GmbH</t>
  </si>
  <si>
    <t>35,000 € - 45,000 € pro Jahr</t>
  </si>
  <si>
    <t>Postdoctoral Researcher for Serial Femtosecond Crystallograp...</t>
  </si>
  <si>
    <t>European XFEL</t>
  </si>
  <si>
    <t>Database Administrator (m/f/d)</t>
  </si>
  <si>
    <t>Data Strategy Consultant (m/w/d)</t>
  </si>
  <si>
    <t>Haar</t>
  </si>
  <si>
    <t>Information Quality Institute GmbH</t>
  </si>
  <si>
    <t>Consultant (all genders) Digital Data Science/Analytics</t>
  </si>
  <si>
    <t>Accenture</t>
  </si>
  <si>
    <t>Python, SQL, Tableau, Machine Learning, Deep Learning, Git</t>
  </si>
  <si>
    <t>Data Scientist 100%</t>
  </si>
  <si>
    <t>Königstein im Taunus</t>
  </si>
  <si>
    <t>PolarAnalytics</t>
  </si>
  <si>
    <t>BI &amp; Data Analytics Solution Architect (m/f/d)</t>
  </si>
  <si>
    <t>Giesecke+Devrient Mobile Security GmbH</t>
  </si>
  <si>
    <t>Acceptance Officer - Data Warehouse (f/m/d)</t>
  </si>
  <si>
    <t>Python, SQL, Statistic, Agile</t>
  </si>
  <si>
    <t>Big Data Architect (m/f/d)</t>
  </si>
  <si>
    <t>EPAM Systems</t>
  </si>
  <si>
    <t>Python, SQL, Tableau, Linux, Agile, Scrum</t>
  </si>
  <si>
    <t>Database Engineer (m/f/d)</t>
  </si>
  <si>
    <t>Rostock</t>
  </si>
  <si>
    <t>CENTOGENE GMBH</t>
  </si>
  <si>
    <t>bonify</t>
  </si>
  <si>
    <t>Junior Consultant Business Intelligence</t>
  </si>
  <si>
    <t>ORAYLIS GmbH Business Intelligence</t>
  </si>
  <si>
    <t>Data Scientist (M/W/D) Standort Ihringen</t>
  </si>
  <si>
    <t>Ihringen</t>
  </si>
  <si>
    <t>Hella Gutmann Solutions GmbH</t>
  </si>
  <si>
    <t>VHV</t>
  </si>
  <si>
    <t>Data Analyst für digitale Prüfungsprozesse (w/m/d)</t>
  </si>
  <si>
    <t>Werkstudenten (m/w/d) Data Analytics</t>
  </si>
  <si>
    <t>Osterholz-Scharmbeck</t>
  </si>
  <si>
    <t>FAUN Umwelttechnik</t>
  </si>
  <si>
    <t>Senior Data Analyst (m/f/d)</t>
  </si>
  <si>
    <t>Jimdo</t>
  </si>
  <si>
    <t>Werkstudent Data Analyst (m/w/d)</t>
  </si>
  <si>
    <t>LOVOO GmbH</t>
  </si>
  <si>
    <t>Intern Business Analytics (f/m/x)</t>
  </si>
  <si>
    <t>eCommerce Data Engineer - Azure</t>
  </si>
  <si>
    <t>Data Scientist Artificial Intelligence (w/m/d)</t>
  </si>
  <si>
    <t>Fujitsu</t>
  </si>
  <si>
    <t>Data Engineer - DevOps (f/m/d)</t>
  </si>
  <si>
    <t>People Data Scientist (all genders)</t>
  </si>
  <si>
    <t>Python, Tableau, Excel, Machine Learning, Deep Learning, Git</t>
  </si>
  <si>
    <t>Full Stack Developer/Data Engineer (m/f/x)</t>
  </si>
  <si>
    <t>Garching bei München</t>
  </si>
  <si>
    <t>Zeppelin Lab GmbH</t>
  </si>
  <si>
    <t>Praktikant (m/w/d) in der Strategie/Competitors &amp; Data Analy...</t>
  </si>
  <si>
    <t>BSH Home Appliances Group</t>
  </si>
  <si>
    <t>Data Analyst - Top Secret w/ SCI Eligibility - Multiple Loca...</t>
  </si>
  <si>
    <t>Wiesbaden</t>
  </si>
  <si>
    <t>Logistics Management Institute</t>
  </si>
  <si>
    <t>Python, SQL, Excel, Machine Learning, Statistic, Agile, Scrum</t>
  </si>
  <si>
    <t>Werkstudent (m/w/d) Data Analytics</t>
  </si>
  <si>
    <t>Data Migration Consultant (DACH Region)</t>
  </si>
  <si>
    <t>SYNITI</t>
  </si>
  <si>
    <t>Computer scientist/data analyst in Single Cell Genomics &amp; Im...</t>
  </si>
  <si>
    <t>European Molecular Biology Laboratory</t>
  </si>
  <si>
    <t>Experte Datenvisualisierung / Information Design (m/w/d)</t>
  </si>
  <si>
    <t>Pilot</t>
  </si>
  <si>
    <t>Data Engineer - Top Secret w/ SCI Eligibility - Multiple Loc...</t>
  </si>
  <si>
    <t>Python, SQL, Agile, Scrum</t>
  </si>
  <si>
    <t>infarm</t>
  </si>
  <si>
    <t>Physiker/ Mathematiker/ Naturwissenschaftler als Data Wareho...</t>
  </si>
  <si>
    <t>SENACOR</t>
  </si>
  <si>
    <t>Data Scientist - Pricing (m/w/d)</t>
  </si>
  <si>
    <t>Neu Isenburg</t>
  </si>
  <si>
    <t>PALTRON GmbH</t>
  </si>
  <si>
    <t>Agile</t>
  </si>
  <si>
    <t>Entwickler (m/w/d) - Data Science</t>
  </si>
  <si>
    <t>Associate Intern – Data Science in Growth Equity (w/m/d) Fra...</t>
  </si>
  <si>
    <t>Digital Partners</t>
  </si>
  <si>
    <t>Business Intelligence Specialist (m/w/d) - Gigafactory Berli...</t>
  </si>
  <si>
    <t>Business Analyst (w/m/d)</t>
  </si>
  <si>
    <t>SCM Data Analyst (m/f/x)</t>
  </si>
  <si>
    <t>Junior Data Engineer (f/m/d)</t>
  </si>
  <si>
    <t>AWIN</t>
  </si>
  <si>
    <t>Python, SQL, Machine Learning, Git, Agile, Scrum</t>
  </si>
  <si>
    <t>Referent Data Science (m/w/d)</t>
  </si>
  <si>
    <t>NetCologne</t>
  </si>
  <si>
    <t>4,7</t>
  </si>
  <si>
    <t>ClimatePartner GmbH</t>
  </si>
  <si>
    <t>Wirtschaftsmathematiker (w/m/d) Data Risk &amp; Quality</t>
  </si>
  <si>
    <t>Mönchengladbach</t>
  </si>
  <si>
    <t>Santander Consumer Bank AG</t>
  </si>
  <si>
    <t>Business Intelligence Developer (m/w)</t>
  </si>
  <si>
    <t>DEVPRO24</t>
  </si>
  <si>
    <t>GBI-Genios Deutsche Wirtschaftsdatenbank GmbH</t>
  </si>
  <si>
    <t>Professional Global Master Data Management *</t>
  </si>
  <si>
    <t>Kassel</t>
  </si>
  <si>
    <t>SMA Solar Technology AG</t>
  </si>
  <si>
    <t>Database Support Engineer (m/f/d)</t>
  </si>
  <si>
    <t>Gothaer</t>
  </si>
  <si>
    <t>(Senior) Data Analyst (m/w/d) im Risikocontrolling</t>
  </si>
  <si>
    <t>Société Générale</t>
  </si>
  <si>
    <t>Analyst/Expert Product Configurators (m/f/d)</t>
  </si>
  <si>
    <t>Saarland</t>
  </si>
  <si>
    <t>Hager Group</t>
  </si>
  <si>
    <t>IT Business Analyst - DWH (f/m/x)</t>
  </si>
  <si>
    <t>48,000 € pro Jahr</t>
  </si>
  <si>
    <t>Teamleiter Data Engineering &amp; Analytics (m/w/d) Raum Duisbur...</t>
  </si>
  <si>
    <t>Duisburg</t>
  </si>
  <si>
    <t>InterJob® GmbH</t>
  </si>
  <si>
    <t>Python, Tableau, Agile</t>
  </si>
  <si>
    <t>Data Analyst Text (m/w/d) mit Geo-Spezialisierung</t>
  </si>
  <si>
    <t>Big Data Analyst (m/w/d)</t>
  </si>
  <si>
    <t>Mannheim</t>
  </si>
  <si>
    <t>BAUHAUS</t>
  </si>
  <si>
    <t>talpasolutions GmbH</t>
  </si>
  <si>
    <t>Python, Machine Learning, Deep Learning, Git, Agile</t>
  </si>
  <si>
    <t>Data Scientist (Marketing Science) (m/w/d)</t>
  </si>
  <si>
    <t>quantilope GmbH</t>
  </si>
  <si>
    <t>Data Scientist (f/m/d) for our Demand Prediction Team</t>
  </si>
  <si>
    <t>MOIA</t>
  </si>
  <si>
    <t>1,5</t>
  </si>
  <si>
    <t>DATA ANALYST - BIOSTATISTICS (m/f/d)</t>
  </si>
  <si>
    <t>Harnham</t>
  </si>
  <si>
    <t>50,000 € - 60,000 € pro Jahr</t>
  </si>
  <si>
    <t>(Junior) Pricing Analyst (m/w/d)</t>
  </si>
  <si>
    <t>Axel Springer</t>
  </si>
  <si>
    <t>Data Analyst Warenflussmanagement (w/m/d)</t>
  </si>
  <si>
    <t>DeskCenter Solutions AG</t>
  </si>
  <si>
    <t>Big Data Engineer (m/w/d)</t>
  </si>
  <si>
    <t>Sovendus GmbH</t>
  </si>
  <si>
    <t>Data Scientist (f/m/d)</t>
  </si>
  <si>
    <t>(Junior) Data Engineer mit Fokus auf Industrie 4.0 Beratung...</t>
  </si>
  <si>
    <t>VIE Data Analytics / Expert System Consors Finanz – Munich -...</t>
  </si>
  <si>
    <t>Datenanalyst/-in BIG DATA / INDUSTRIE 4.0 / Manufacturing An...</t>
  </si>
  <si>
    <t>Flatten IT Consulting</t>
  </si>
  <si>
    <t>Friendsurance</t>
  </si>
  <si>
    <t>Analytics Expert (m/w/d) im Bereich Data Driven Sales &amp; Mark...</t>
  </si>
  <si>
    <t>Datalogue GmbH</t>
  </si>
  <si>
    <t>Autohero</t>
  </si>
  <si>
    <t>2218 - Junior Consultant - Real World Analytics</t>
  </si>
  <si>
    <t>Data Warehouse Entwickler (m/w/d)</t>
  </si>
  <si>
    <t>Trainee Data Science im Transport national (m/w/d)</t>
  </si>
  <si>
    <t>Post &amp; Paket Deutschland</t>
  </si>
  <si>
    <t>Data Scientist Praktikant/in</t>
  </si>
  <si>
    <t>Virtenio GmbH</t>
  </si>
  <si>
    <t>Data Scientist / Data Analyst (f/m/d) Customer Service</t>
  </si>
  <si>
    <t>Research Scientist (m/f/d) - Intellectual Property Analyst</t>
  </si>
  <si>
    <t>Artificial Intelligence Expert (m/f/d)</t>
  </si>
  <si>
    <t>Data Warehouse / ETL-Entwickler (m/w/d)</t>
  </si>
  <si>
    <t>Löhne</t>
  </si>
  <si>
    <t>Hermes Einrichtungs Service GmbH &amp; Co. KG</t>
  </si>
  <si>
    <t>TecAlliance</t>
  </si>
  <si>
    <t>Data Scientist - 360° (m/w/d)</t>
  </si>
  <si>
    <t>ABOUT YOU GmbH</t>
  </si>
  <si>
    <t>Python, SQL, Machine Learning, Linux, Agile</t>
  </si>
  <si>
    <t>Solution Architects Business Intelligence (m/w)</t>
  </si>
  <si>
    <t>avarexx AG</t>
  </si>
  <si>
    <t>Analytics Consultant (m/f/d)</t>
  </si>
  <si>
    <t>Data Scientist / Data Analyst (m/w/d)</t>
  </si>
  <si>
    <t>Augsburg</t>
  </si>
  <si>
    <t>Mediengruppe Pressedruck</t>
  </si>
  <si>
    <t>Mathematiker, Physiker - Data Scientist, Analysewerkzeuge (m...</t>
  </si>
  <si>
    <t>SpinDiag GmbH</t>
  </si>
  <si>
    <t>Pforzheim</t>
  </si>
  <si>
    <t>Klingel Gruppe</t>
  </si>
  <si>
    <t>Data Analyst (m/w/d) Online / Digital Marketing</t>
  </si>
  <si>
    <t>Buchholz in der Nordheide</t>
  </si>
  <si>
    <t>BFOUND GmbH</t>
  </si>
  <si>
    <t>Senior Data Analyst - Edtech (f/m/d)</t>
  </si>
  <si>
    <t>CareerFoundry GmbH</t>
  </si>
  <si>
    <t>Python, SQL, Statistic, Agile, Scrum</t>
  </si>
  <si>
    <t>Intern/Working student Business Intelligence and Sales Opera...</t>
  </si>
  <si>
    <t>virtualQ GmbH</t>
  </si>
  <si>
    <t>Förderung von KI- Nachwuchswissenschaftlerinnen: Seismologie...</t>
  </si>
  <si>
    <t>Frankfurt Institute for Advanced Studies (FIAS)</t>
  </si>
  <si>
    <t>Python, Excel, Machine Learning, Deep Learning</t>
  </si>
  <si>
    <t>Wirtschaftsinformatik - Data Science (m/w/d)</t>
  </si>
  <si>
    <t>VR Smart Finanz</t>
  </si>
  <si>
    <t>Consultant Data &amp; Analytics für Microsoft Power BI (m/w/d)</t>
  </si>
  <si>
    <t>Internship: Application Engineering Radar Sensing (f/m/div)*</t>
  </si>
  <si>
    <t>Trainee/Junior Account Management Tracking/Analytics (m/w/d)</t>
  </si>
  <si>
    <t>antwerpes ag</t>
  </si>
  <si>
    <t>real,- Digital Services GmbH</t>
  </si>
  <si>
    <t>Platform Specialist E-Commerce (m/f/d)</t>
  </si>
  <si>
    <t>Metzingen</t>
  </si>
  <si>
    <t>Hugo Boss</t>
  </si>
  <si>
    <t>Bachelor / Master Thesis / IDP / Forschungspraxis (m/f/d) Li...</t>
  </si>
  <si>
    <t>Blickfeld GmbH</t>
  </si>
  <si>
    <t>Linux</t>
  </si>
  <si>
    <t>Product Analyst</t>
  </si>
  <si>
    <t>Kaia Health Software GmbH</t>
  </si>
  <si>
    <t>Python, SQL, Excel, Machine Learning, Statistic, Git</t>
  </si>
  <si>
    <t>lengoo GmbH</t>
  </si>
  <si>
    <t>Python, Machine Learning, Git, Linux, Agile</t>
  </si>
  <si>
    <t>Associate Data Operations Lead - Link</t>
  </si>
  <si>
    <t>Praktikant / Werkstudent Data Engineering*</t>
  </si>
  <si>
    <t>FELD M GmbH</t>
  </si>
  <si>
    <t>Koordinator Data Analytics (m/w/d)</t>
  </si>
  <si>
    <t>RENK AG Jobboard</t>
  </si>
  <si>
    <t>Python, Machine Learning, Git, Agile, Scrum</t>
  </si>
  <si>
    <t>Expert Master Data Management (m/w/d)</t>
  </si>
  <si>
    <t>Freising</t>
  </si>
  <si>
    <t>Unternehmensgruppe Theo Müller</t>
  </si>
  <si>
    <t>2,3</t>
  </si>
  <si>
    <t>Data Analyst/Engineer (m/w/d) - Ab Initio</t>
  </si>
  <si>
    <t>Trainee Program - Digital Finance (f/m/d)</t>
  </si>
  <si>
    <t>Multilingual Research Analyst</t>
  </si>
  <si>
    <t>Mettmann</t>
  </si>
  <si>
    <t>Herrmann Global</t>
  </si>
  <si>
    <t>1,000 € - 3,000 € pro Monat</t>
  </si>
  <si>
    <t>Data Scientist Pricing (m/w/d)</t>
  </si>
  <si>
    <t>Gräfelfing</t>
  </si>
  <si>
    <t>Richter+Frenzel</t>
  </si>
  <si>
    <t>SQL, Statistic</t>
  </si>
  <si>
    <t>BI Data Engineer / Architect (m/w/d)</t>
  </si>
  <si>
    <t>Volkswagen Gebrauchtfahrzeughandels und Service Gm...</t>
  </si>
  <si>
    <t>Data Lake Solution Architect (m/f/x)</t>
  </si>
  <si>
    <t>47,000 € pro Jahr</t>
  </si>
  <si>
    <t>Data Architect with Azure proficiency (m/w/d)</t>
  </si>
  <si>
    <t>Enpal</t>
  </si>
  <si>
    <t>Python, SQL, Tableau, Machine Learning, Deep Learning</t>
  </si>
  <si>
    <t>Reporting &amp; Business Analytics Expert w/m/d</t>
  </si>
  <si>
    <t>Wilo</t>
  </si>
  <si>
    <t>Montabaur</t>
  </si>
  <si>
    <t>Dürr AG</t>
  </si>
  <si>
    <t>Data Science Consultant (m/w/d)</t>
  </si>
  <si>
    <t>Comma Soft</t>
  </si>
  <si>
    <t>(Junior) Expert (m/w/x) Analytics Consulting</t>
  </si>
  <si>
    <t>Arvato Supply Chain Solutions SE – Central Functio...</t>
  </si>
  <si>
    <t>Santander Global External</t>
  </si>
  <si>
    <t>Manager Data Analytics Global Internal Audit (m/f/d)</t>
  </si>
  <si>
    <t>Fresenius Medical Care</t>
  </si>
  <si>
    <t>Data Scientist/Ontology Engineer (m/w/d)</t>
  </si>
  <si>
    <t>Leibniz-Gemeinschaft</t>
  </si>
  <si>
    <t>Python, Git, Scrum</t>
  </si>
  <si>
    <t>Mülheim-Kärlich</t>
  </si>
  <si>
    <t>TOMRA</t>
  </si>
  <si>
    <t>(Data) Science Consultant (m/w/d)</t>
  </si>
  <si>
    <t>Oberhaching</t>
  </si>
  <si>
    <t>blu BEYOND GmbH</t>
  </si>
  <si>
    <t>Dürr Somac GmbH</t>
  </si>
  <si>
    <t>Mitarbeiter/in (m/w/d) für Datenanalyse, Datenmodellierung u...</t>
  </si>
  <si>
    <t>Deutsche Forschungsgemeinschaft e. V.</t>
  </si>
  <si>
    <t>Junior Data Analyst (m/w/d)</t>
  </si>
  <si>
    <t>datapine GmbH</t>
  </si>
  <si>
    <t>Technical Consultant (m/f/d) Industrial Artificial Intellige...</t>
  </si>
  <si>
    <t>Intico Engineering</t>
  </si>
  <si>
    <t>Project Manager Data Migration (w/m/d)</t>
  </si>
  <si>
    <t>(Senior) Data Scientist - Logistics (f/m/d)</t>
  </si>
  <si>
    <t>Solution Implementation Consultant</t>
  </si>
  <si>
    <t>Osudio</t>
  </si>
  <si>
    <t>Interhyp AG</t>
  </si>
  <si>
    <t>Working Student Data Analytics (f/m/d)</t>
  </si>
  <si>
    <t>Research Analyst (*)</t>
  </si>
  <si>
    <t>ista</t>
  </si>
  <si>
    <t>Analyst / Associate, Technical Assistance Management (m/f/d)</t>
  </si>
  <si>
    <t>Finance in Motion</t>
  </si>
  <si>
    <t>Koordinator/-in (m/w/d) Open Data und GIS</t>
  </si>
  <si>
    <t>Landeshauptstadt Potsdam</t>
  </si>
  <si>
    <t>Lead Business Analyst Data (m/w/d)</t>
  </si>
  <si>
    <t>Junior Data Analyst – Bereich Politics &amp; Public Affairs (m/w...</t>
  </si>
  <si>
    <t>Storymachine GmbH</t>
  </si>
  <si>
    <t>Data Analytics Engineer (m/w/d)</t>
  </si>
  <si>
    <t>Automotive Application Engineer - Data Science (f/m/d)</t>
  </si>
  <si>
    <t>MathWorks</t>
  </si>
  <si>
    <t>Excel, Machine Learning, Deep Learning, Git</t>
  </si>
  <si>
    <t>Werkstudent (w/m/d) Sales Data Analysis</t>
  </si>
  <si>
    <t>MOBIS Parts Europe N.V.</t>
  </si>
  <si>
    <t>Wissenschaftliche Mitarbeiterin/Wissenschaftlicher Mitarbeit...</t>
  </si>
  <si>
    <t>Jülich</t>
  </si>
  <si>
    <t>FH Aachen</t>
  </si>
  <si>
    <t>Consultant (m/w/d) Data &amp; Analytics</t>
  </si>
  <si>
    <t>PreMaster Programm - Data Science</t>
  </si>
  <si>
    <t>Bosch Group</t>
  </si>
  <si>
    <t>Geo Data Scientist/Engineer</t>
  </si>
  <si>
    <t>Hawa Dawa GmbH</t>
  </si>
  <si>
    <t>Python, Excel, Machine Learning, Statistic, Git, Agile</t>
  </si>
  <si>
    <t>Bechtle GmbH &amp; Co. KG IT-Systemhaus Bonn/Köln</t>
  </si>
  <si>
    <t>SQL, Tableau, Machine Learning</t>
  </si>
  <si>
    <t>Data Scientist, Drug Discovery (m/f/d)</t>
  </si>
  <si>
    <t>Dewpoint Therapeutics</t>
  </si>
  <si>
    <t>&gt; Data Lake Admin (m/w/d)</t>
  </si>
  <si>
    <t>NORD/LB</t>
  </si>
  <si>
    <t>Professional Data Scientist (m/w/d)</t>
  </si>
  <si>
    <t>Babbel</t>
  </si>
  <si>
    <t>cellent GmbH</t>
  </si>
  <si>
    <t>Machine Learning Engineer / Data Engineer*</t>
  </si>
  <si>
    <t>inovex</t>
  </si>
  <si>
    <t>Python, SQL, Machine Learning, Git, Linux, Agile</t>
  </si>
  <si>
    <t>IT Operations Specialist (m/w/d) - Data Analytics</t>
  </si>
  <si>
    <t>KWS Group</t>
  </si>
  <si>
    <t>Junior Consultant IT Data Quality Management (w/m/d)</t>
  </si>
  <si>
    <t>Neckarsulm</t>
  </si>
  <si>
    <t>Schwarz Dienstleistungen</t>
  </si>
  <si>
    <t>Freelance Data Analysis Mentors/Tutors (f/m/d)</t>
  </si>
  <si>
    <t>Hays</t>
  </si>
  <si>
    <t>Big Data Developer / Architect</t>
  </si>
  <si>
    <t>Data Reply GmbH</t>
  </si>
  <si>
    <t>The Jodel Venture</t>
  </si>
  <si>
    <t>Data Engineer Clinical Operations CTM Support (all genders)</t>
  </si>
  <si>
    <t>Copernicus data processing engineer</t>
  </si>
  <si>
    <t>GMV</t>
  </si>
  <si>
    <t>Master Data Specialist (m/w/d)</t>
  </si>
  <si>
    <t>Ober-Ramstadt</t>
  </si>
  <si>
    <t>DAW</t>
  </si>
  <si>
    <t>Cloud Data Architect</t>
  </si>
  <si>
    <t>Cloudreach</t>
  </si>
  <si>
    <t>Big Data Engineer/Cloud Developer (f/m/x)</t>
  </si>
  <si>
    <t>Valuation Specialist (f/m/d)</t>
  </si>
  <si>
    <t>Python, SQL, Excel, Statistic, Agile</t>
  </si>
  <si>
    <t>Junior IT Specialist for system integration (m / f / d) - In...</t>
  </si>
  <si>
    <t>BI Engineer (m/w/d)</t>
  </si>
  <si>
    <t>DKV EURO SERVICE GmbH + Co. KG</t>
  </si>
  <si>
    <t>Data Intelligence Engineer (m/w/d) zur Unterstützung der Dig...</t>
  </si>
  <si>
    <t>Sulzbach</t>
  </si>
  <si>
    <t>CGI Group, Inc.</t>
  </si>
  <si>
    <t>Praktikum „Data Science“ im Bereich Market Intelligence</t>
  </si>
  <si>
    <t>Data Analyst (m/w)</t>
  </si>
  <si>
    <t>junokai GmbH</t>
  </si>
  <si>
    <t>Big Data Architekt (m/w/d)</t>
  </si>
  <si>
    <t>mVISE AG</t>
  </si>
  <si>
    <t>Marketing Web Data Analyst (w/m/d)</t>
  </si>
  <si>
    <t>Sunday Natural Products GmbH</t>
  </si>
  <si>
    <t>Data Virtualization Expert (m/w/d)</t>
  </si>
  <si>
    <t>areto consulting gmbh</t>
  </si>
  <si>
    <t>Akademische/-r Mitarbeiter/-in (m/w/d) für den Bereich Data...</t>
  </si>
  <si>
    <t>Villingen-Schwenningen</t>
  </si>
  <si>
    <t>Hochschule Furtwangen</t>
  </si>
  <si>
    <t>Datenbankentwickler/Data Scientist (m/w/d)</t>
  </si>
  <si>
    <t>Kochel a.See</t>
  </si>
  <si>
    <t>RCE Medien GmbH &amp; Co. KG</t>
  </si>
  <si>
    <t>Data Analyst - Business</t>
  </si>
  <si>
    <t>SQL, Tableau, Statistic</t>
  </si>
  <si>
    <t>Machine Learning und Big Data Engineer (m/w/d)*</t>
  </si>
  <si>
    <t>mgm technology partners GmbH</t>
  </si>
  <si>
    <t>(Senior) Analytics Expert /Data Scientist (m/w/d)</t>
  </si>
  <si>
    <t>ACP Digital Analytics GmbH</t>
  </si>
  <si>
    <t>LogMeIn</t>
  </si>
  <si>
    <t>Machine Learning, Agile</t>
  </si>
  <si>
    <t>Team Lead Data Engineering &amp; Analytics</t>
  </si>
  <si>
    <t>Userlane</t>
  </si>
  <si>
    <t>Product Analyst (m/f/d)</t>
  </si>
  <si>
    <t>Zenjob</t>
  </si>
  <si>
    <t>Business Data Architect (w/m/d)</t>
  </si>
  <si>
    <t>Igersheim</t>
  </si>
  <si>
    <t>WITTENSTEIN SE</t>
  </si>
  <si>
    <t>Werkstudent IT Data &amp; Analytics / Data Integration (m/w/d)</t>
  </si>
  <si>
    <t>Data Center Technician (m/f/d)</t>
  </si>
  <si>
    <t>AVANTGARDE Experts</t>
  </si>
  <si>
    <t>Data Program Owner (m/w/d)</t>
  </si>
  <si>
    <t>WBS Gruppe</t>
  </si>
  <si>
    <t>Medizinischer Dokumentar / Data Manager (m/w/d)</t>
  </si>
  <si>
    <t>Data Warehouse Analyst (m/w/d)</t>
  </si>
  <si>
    <t>IKOR AG</t>
  </si>
  <si>
    <t>Statistic</t>
  </si>
  <si>
    <t>Specialist for Customs classification &amp; Master data analyst...</t>
  </si>
  <si>
    <t>Jüchen</t>
  </si>
  <si>
    <t>3M</t>
  </si>
  <si>
    <t>Werkstudent (m/w/d) Data Intelligence Competence Center</t>
  </si>
  <si>
    <t>1&amp;1 Versatel GmbH</t>
  </si>
  <si>
    <t>Scientist in Bioinformatics for Data Integration and Databas...</t>
  </si>
  <si>
    <t>Alacris Theranostics</t>
  </si>
  <si>
    <t>Ketzin</t>
  </si>
  <si>
    <t>MOSOLF Logistics &amp; Services GmbH</t>
  </si>
  <si>
    <t>(Junior) Customer Data Scientist (m/w/d)</t>
  </si>
  <si>
    <t>IT‐Berater (m/w/d) Data Integration BI, BigData und Cloud</t>
  </si>
  <si>
    <t>cimt ag</t>
  </si>
  <si>
    <t>Praktikant/in / oder Absolvent/in im Bereich Data Engineerin...</t>
  </si>
  <si>
    <t>Altendiez</t>
  </si>
  <si>
    <t>HTP MOTORSPORT GmbH</t>
  </si>
  <si>
    <t>Bachelor-/Master-Thesis “Die Business Intelligence Datenplat...</t>
  </si>
  <si>
    <t>Novel methods for leveraging modern data storage technologie...</t>
  </si>
  <si>
    <t>Jena</t>
  </si>
  <si>
    <t>Data Analyst in Vollzeit (m/w /d)</t>
  </si>
  <si>
    <t>pension solutions group</t>
  </si>
  <si>
    <t>Consultant (m/w/d) Data Analytics &amp; Künstliche Intelligenz</t>
  </si>
  <si>
    <t>Interdisciplinary PhD Positions in Data Science (f/m/d)</t>
  </si>
  <si>
    <t>Data Science in Hamburg - Helmholtz Graduate Schoo...</t>
  </si>
  <si>
    <t>Data Analyst - 360° (m/w/d)</t>
  </si>
  <si>
    <t>Python, SQL, Excel, Linux, Agile</t>
  </si>
  <si>
    <t>Business Intelligence Consultant (m/w/d) Schwerpunkt Datenba...</t>
  </si>
  <si>
    <t>Quality Analyst Data Integrity (m/w/d)</t>
  </si>
  <si>
    <t>Teva Pharmaceuticals</t>
  </si>
  <si>
    <t>Venture Analyst</t>
  </si>
  <si>
    <t>GlassDollar</t>
  </si>
  <si>
    <t>Program Analyst</t>
  </si>
  <si>
    <t>Hohenfels</t>
  </si>
  <si>
    <t>US Department of the Army</t>
  </si>
  <si>
    <t>55,204 € - 71,764 € pro Jahr</t>
  </si>
  <si>
    <t>DATA ANALYST</t>
  </si>
  <si>
    <t>Dynamic Search Solutions</t>
  </si>
  <si>
    <t>40,000 € - 50,000 € pro Jahr</t>
  </si>
  <si>
    <t>Cloud Data Warehouse Engineer, Google Cloud Professional Ser...</t>
  </si>
  <si>
    <t>Consultant (m/w/d) Business Intelligence / Big Data im Berei...</t>
  </si>
  <si>
    <t>STAR COOPERATION GmbH</t>
  </si>
  <si>
    <t>e-Commerce Data Steward (m/w/d)</t>
  </si>
  <si>
    <t>Big Data DevOps (m/w/d)</t>
  </si>
  <si>
    <t>Selectancy</t>
  </si>
  <si>
    <t>Data Pipeline Engineer (m/f/x)</t>
  </si>
  <si>
    <t>Data Centre Technician (m/f/d) – Career Transition Programme</t>
  </si>
  <si>
    <t>DATA WAREHOUSE ENGINEER</t>
  </si>
  <si>
    <t>Orange Quarter</t>
  </si>
  <si>
    <t>Wimsheim</t>
  </si>
  <si>
    <t>WidasConcepts GmbH</t>
  </si>
  <si>
    <t>Data Scientist / Machine Learning Expert</t>
  </si>
  <si>
    <t>Testifi GmbH</t>
  </si>
  <si>
    <t>Clinical Data Specialist</t>
  </si>
  <si>
    <t>HAL Allergie GmbH</t>
  </si>
  <si>
    <t>Software-Entwickler (m/w/d) mit Schwerpunkt Big Data und Ana...</t>
  </si>
  <si>
    <t>PROFI Engineering Systems</t>
  </si>
  <si>
    <t>IT-Spezialist Data Warehousing / SQL für Kapitalanlagen (m/w...</t>
  </si>
  <si>
    <t>SV SparkassenVersicherung</t>
  </si>
  <si>
    <t>FRED Executive Search GmbH</t>
  </si>
  <si>
    <t>CONSUS</t>
  </si>
  <si>
    <t>Machine Learning Engineer (f/m/x)</t>
  </si>
  <si>
    <t>SQL, Excel, Machine Learning, Git</t>
  </si>
  <si>
    <t>Working Student: Data Science</t>
  </si>
  <si>
    <t>Masterarbeit im Bereich Data Analytics</t>
  </si>
  <si>
    <t>MT</t>
  </si>
  <si>
    <t>Data-Analyst (m/w/d)</t>
  </si>
  <si>
    <t>HABA</t>
  </si>
  <si>
    <t>PhD Position (m/f/d) Analysis and data correlation for the m...</t>
  </si>
  <si>
    <t>Geesthacht</t>
  </si>
  <si>
    <t>Helmholtz-Zentrum Geesthacht Zentrum für Material-...</t>
  </si>
  <si>
    <t>Data Centre Technician</t>
  </si>
  <si>
    <t>NTT America Inc.</t>
  </si>
  <si>
    <t>Data Scientist (gn)</t>
  </si>
  <si>
    <t>Python, Machine Learning, Agile</t>
  </si>
  <si>
    <t>Scientist - Data Science for Accelerator Controls</t>
  </si>
  <si>
    <t>Deutsches Elektronen-Synchrotron DESY</t>
  </si>
  <si>
    <t>WERKSTUDENT DATA SCIENCE (m/w/d)</t>
  </si>
  <si>
    <t>virtual7 GmbH</t>
  </si>
  <si>
    <t>Python, Machine Learning, Deep Learning, Git</t>
  </si>
  <si>
    <t>DATA ENGINEER (M/W/D)</t>
  </si>
  <si>
    <t>Digital Sonstige</t>
  </si>
  <si>
    <t>Python, Machine Learning, Git, Scrum</t>
  </si>
  <si>
    <t>Junior Data Management Consultant</t>
  </si>
  <si>
    <t>Data Manager/Analyst – Bioscience (m|f|d)</t>
  </si>
  <si>
    <t>Python, Statistic, Scrum, Jira</t>
  </si>
  <si>
    <t>Adecco</t>
  </si>
  <si>
    <t>Werkstudent (m/w/d) – Data Engineering / Artificial Intellig...</t>
  </si>
  <si>
    <t>Synamic Technologies UG</t>
  </si>
  <si>
    <t>SQL, Machine Learning, Git</t>
  </si>
  <si>
    <t>Praktikum im Bereich Data Science</t>
  </si>
  <si>
    <t>Data Warehouse Business Analyst in Voll- / Teilzeit (m/w/d)</t>
  </si>
  <si>
    <t>Wissenschaftliche/r Mitarbeiter/in Forschungsdatenmanagement...</t>
  </si>
  <si>
    <t>Universität zu Köln</t>
  </si>
  <si>
    <t>Operator (d/f/m) - highly flexible freelancer for Esports Da...</t>
  </si>
  <si>
    <t>11 € pro Stunde</t>
  </si>
  <si>
    <t>Junior-Anforderungsmanager (m/w/d) Schwerpunkt Data Warehous...</t>
  </si>
  <si>
    <t>Deutsche Leasing AG</t>
  </si>
  <si>
    <t>Technical System Analyst (f/m/d)</t>
  </si>
  <si>
    <t>Randstad Deutschland</t>
  </si>
  <si>
    <t>Data Manager (w/m/d)</t>
  </si>
  <si>
    <t>CRC Solutions</t>
  </si>
  <si>
    <t>Data Scientist (m/w/i)</t>
  </si>
  <si>
    <t>Roth</t>
  </si>
  <si>
    <t>edison street GmbH</t>
  </si>
  <si>
    <t>Data Engineer - Data Abstraction &amp; Provisioning (m/f/d)</t>
  </si>
  <si>
    <t>Knorr-Bremse</t>
  </si>
  <si>
    <t>Rüsselsheim</t>
  </si>
  <si>
    <t>invenio GmbH Engineering Services</t>
  </si>
  <si>
    <t>Junior (Medizin-)Informatiker als Data Engineer (m/f/d)</t>
  </si>
  <si>
    <t>Klinikum der Universität München</t>
  </si>
  <si>
    <t>Senior Data Engineer - Recommendations (f/m/d)</t>
  </si>
  <si>
    <t>Data Engineer - E-Commerce (m/w/d)</t>
  </si>
  <si>
    <t>Data Warehouse Architect</t>
  </si>
  <si>
    <t>Data Scientist Automotive EMEA (m/f/d)</t>
  </si>
  <si>
    <t>Speyer</t>
  </si>
  <si>
    <t>TE Connectivity</t>
  </si>
  <si>
    <t>Python, Tableau, Excel, Machine Learning, Deep Learning, Statistic, Git</t>
  </si>
  <si>
    <t>Engineer</t>
  </si>
  <si>
    <t>Ludwigsstadt</t>
  </si>
  <si>
    <t>W.O.M. WORLD OF MEDICINE GmbH</t>
  </si>
  <si>
    <t>Data Analytics Architect</t>
  </si>
  <si>
    <t>Agile, Scrum</t>
  </si>
  <si>
    <t>Boxine GmbH</t>
  </si>
  <si>
    <t>Lead Supervisors</t>
  </si>
  <si>
    <t>Wissenschaftliche Hilfskraft im Bereich Data Analytics</t>
  </si>
  <si>
    <t>Heilbronn</t>
  </si>
  <si>
    <t>Fraunhofer-Gesellschaft</t>
  </si>
  <si>
    <t>MHS Digital GmbH</t>
  </si>
  <si>
    <t>DATA SCIENTIST (m/w/d)</t>
  </si>
  <si>
    <t>sprylab technologies</t>
  </si>
  <si>
    <t>2021 Graduate Economic Analyst - Berlin</t>
  </si>
  <si>
    <t>Frontier Economics Limited</t>
  </si>
  <si>
    <t>IT-Teamleiter (m/w/d) Data Warehouse &amp; Applikationen für Ver...</t>
  </si>
  <si>
    <t>Teamleiter (m/w/d) Artikelstammdaten / Master Data Managemen...</t>
  </si>
  <si>
    <t>METRO AG</t>
  </si>
  <si>
    <t>Consultant Data Analytics (w/m/d)</t>
  </si>
  <si>
    <t>Python, Tableau, Machine Learning, Git</t>
  </si>
  <si>
    <t>Data Quality Management &amp; Governance Analyst (f/m/d)</t>
  </si>
  <si>
    <t>Leading Data Architect</t>
  </si>
  <si>
    <t>Webfleet Solutions</t>
  </si>
  <si>
    <t>International career opportunities</t>
  </si>
  <si>
    <t>Solita</t>
  </si>
  <si>
    <t>Data Analyst - Business (m/f/x)</t>
  </si>
  <si>
    <t>PhD positions | Engineering and Mathematics (m/f/d)</t>
  </si>
  <si>
    <t>Magdeburg</t>
  </si>
  <si>
    <t>Max Planck Institute for Dynamics of Complex Techn...</t>
  </si>
  <si>
    <t>Statistician/Data Scientist</t>
  </si>
  <si>
    <t>GAF AG</t>
  </si>
  <si>
    <t>Excel, Statistic, Agile</t>
  </si>
  <si>
    <t>intense</t>
  </si>
  <si>
    <t>Data Engineer (m/w/d) Frankfurt, Hamburg, Karlsruhe</t>
  </si>
  <si>
    <t>Tallence GmbH</t>
  </si>
  <si>
    <t>(Junior) BI Consultant Datenvisualisierung (Power BI/ Tablea...</t>
  </si>
  <si>
    <t>KI Professionals</t>
  </si>
  <si>
    <t>Data Scientist / Data Analyst – Controlling national (m/w/d)</t>
  </si>
  <si>
    <t>Lidl Dienstleistung GmbH &amp; Co. KG</t>
  </si>
  <si>
    <t>Praktikant (m/w/d) Data Mining / Big Data / Datenanalyse im...</t>
  </si>
  <si>
    <t>skipsearch GmbH</t>
  </si>
  <si>
    <t>70,000 € pro Jahr</t>
  </si>
  <si>
    <t>Process Expert Data Integrity (m/w/d)</t>
  </si>
  <si>
    <t>Junior Computer Vision Engineer</t>
  </si>
  <si>
    <t>45,000 € - 55,000 € pro Jahr</t>
  </si>
  <si>
    <t>Student (m/w/d) - Wirtschaftsinformatik Data Science</t>
  </si>
  <si>
    <t>Eisenberg</t>
  </si>
  <si>
    <t>AOK Rheinland-Pfalz/Saarland</t>
  </si>
  <si>
    <t>DHL Supply Chain</t>
  </si>
  <si>
    <t>Data Developer Reporting (m/w/d)</t>
  </si>
  <si>
    <t>Business Intelligence Specialist (m/w/d)</t>
  </si>
  <si>
    <t>reuter onlineshop GmbH</t>
  </si>
  <si>
    <t>SQL, Tableau, Git, Agile</t>
  </si>
  <si>
    <t>SQL Datenbankentwickler (m/w/d) in Eschborn</t>
  </si>
  <si>
    <t>Hessen</t>
  </si>
  <si>
    <t>ARI Fleet Germany GmbH</t>
  </si>
  <si>
    <t>Data Engineer *</t>
  </si>
  <si>
    <t>Zalando SE</t>
  </si>
  <si>
    <t>Wolfsburg</t>
  </si>
  <si>
    <t>Volkswagen Group Services GmbH</t>
  </si>
  <si>
    <t>Data Analyst (w/m/d) für Feuerwehrfachdaten</t>
  </si>
  <si>
    <t>Stadt Frankfurt am Main</t>
  </si>
  <si>
    <t>Abteilungsleiter Data Analytics / Data Scientist – Controlli...</t>
  </si>
  <si>
    <t>Vilsbiburg</t>
  </si>
  <si>
    <t>DRÄXLMAIER Group</t>
  </si>
  <si>
    <t>Neuss</t>
  </si>
  <si>
    <t>Bank11 für Privatkunden und Handel GmbH</t>
  </si>
  <si>
    <t>Business Intelligence Developer DWH (m/w/d)</t>
  </si>
  <si>
    <t>ifm electronic</t>
  </si>
  <si>
    <t>Data Analyst - Business Intelligence (m/w/d)</t>
  </si>
  <si>
    <t>Allgeier Experts Pro GmbH</t>
  </si>
  <si>
    <t>Data and Process Business Manager (m/w/d)</t>
  </si>
  <si>
    <t>Bad Camberg</t>
  </si>
  <si>
    <t>Serviceware SE</t>
  </si>
  <si>
    <t>Consultant Digital Analytics (m/w/d)</t>
  </si>
  <si>
    <t>ALDI Nord</t>
  </si>
  <si>
    <t>Deutsche Bahn</t>
  </si>
  <si>
    <t>Data Quality Manager (m/w/d)</t>
  </si>
  <si>
    <t>DZ HYP</t>
  </si>
  <si>
    <t>(Senior) Consultant Artificial Intelligence &amp; Data Analytics...</t>
  </si>
  <si>
    <t>Data Engineer Data Lake bei DB Energie (w/m/d)</t>
  </si>
  <si>
    <t>Daten Analyst im medizinischen Forschungsbereich (w/m/d)</t>
  </si>
  <si>
    <t>Brunel GmbH</t>
  </si>
  <si>
    <t>Inhouse Consultant Pricing &amp; Projects (m/f/x)</t>
  </si>
  <si>
    <t>ImmoScout24</t>
  </si>
  <si>
    <t>Product Owner Data Science (m/w/d)</t>
  </si>
  <si>
    <t>flaschenpost SE</t>
  </si>
  <si>
    <t>2,2</t>
  </si>
  <si>
    <t>Data Engineer*</t>
  </si>
  <si>
    <t>Berenberg Bank</t>
  </si>
  <si>
    <t>Data Engineer (m/w/d) Machine Learning</t>
  </si>
  <si>
    <t>REHSEARCH - eine Sparte der Rehbach Gruppe GmbH</t>
  </si>
  <si>
    <t>Senior Marketing Analyst (m/w/d)</t>
  </si>
  <si>
    <t>Projektmanager Data Warehouse (m/w/d)</t>
  </si>
  <si>
    <t>E-Commerce Manager / Web Data Analyst (mwx)</t>
  </si>
  <si>
    <t>Dermalogica GmbH</t>
  </si>
  <si>
    <t>Daten Analyst im medizinischen Forschungsbereich</t>
  </si>
  <si>
    <t>Brunel</t>
  </si>
  <si>
    <t>Business Analyst / Data Analyst (m/w/d) Rückversicherung</t>
  </si>
  <si>
    <t>R+V Versicherung AG</t>
  </si>
  <si>
    <t>Junior Talent im Datenmanagement (w/m/d)</t>
  </si>
  <si>
    <t>User Experience Designer (m/w/d) für Data Driven Business</t>
  </si>
  <si>
    <t>Lübeck</t>
  </si>
  <si>
    <t>Drägerwerk AG &amp; Co. KGaA</t>
  </si>
  <si>
    <t>Kelly Services GmbH</t>
  </si>
  <si>
    <t>expertum GmbH</t>
  </si>
  <si>
    <t>Database Marketing Analyst</t>
  </si>
  <si>
    <t>Herzogenrath</t>
  </si>
  <si>
    <t>Wiertz Personal</t>
  </si>
  <si>
    <t>Consultant Business Intelligence (m/w/d)</t>
  </si>
  <si>
    <t>Cintellic</t>
  </si>
  <si>
    <t>Data Integrity Specialist (m/w/d) im Pharmabereich</t>
  </si>
  <si>
    <t>FERCHAU</t>
  </si>
  <si>
    <t>Fernstudium Digital Business (B.S.) m/w/d</t>
  </si>
  <si>
    <t>Data Analyst (M/W/D)</t>
  </si>
  <si>
    <t>Condé Nast Germany GmbH</t>
  </si>
  <si>
    <t>Python, SQL, Google Sheets, Machine Learning</t>
  </si>
  <si>
    <t>Sr. Digital Marketing Analyst (m/w/d)</t>
  </si>
  <si>
    <t>Connexity</t>
  </si>
  <si>
    <t>65,000 € - 85,000 € pro Jahr</t>
  </si>
  <si>
    <t>Student (m/w/d) DHBW-Studium Informatik - Studienrichtung: C...</t>
  </si>
  <si>
    <t>Gerlingen</t>
  </si>
  <si>
    <t>Jira</t>
  </si>
  <si>
    <t>Data Scientist Supply Chain Management (m/w/x) in Mülheim an...</t>
  </si>
  <si>
    <t>ALDI SÜD Dienstleistungs-GmbH &amp; Co. oHG</t>
  </si>
  <si>
    <t>Spezialist (m/w/d) Big Data/Datenanalyse</t>
  </si>
  <si>
    <t>(Senior) Data Engineer (w/m/d)</t>
  </si>
  <si>
    <t>Database Developer/ Data-Analyst (m/w/d)</t>
  </si>
  <si>
    <t>Koblenz</t>
  </si>
  <si>
    <t>Operation Analyst (m/f/d)</t>
  </si>
  <si>
    <t>Orizon GmbH</t>
  </si>
  <si>
    <t>Temporary</t>
  </si>
  <si>
    <t>Campusjäger GmbH</t>
  </si>
  <si>
    <t>Senior Data Scientist (w/m/d)</t>
  </si>
  <si>
    <t>Stuttgart Stuttgart-Mitte</t>
  </si>
  <si>
    <t>Mädchenflohmarkt.de</t>
  </si>
  <si>
    <t>Senior Big Data Engineer (f/m/x)</t>
  </si>
  <si>
    <t>Avira Operations GmbH &amp; Co. KG</t>
  </si>
  <si>
    <t>Engineer (m/w/d) Processes &amp; Product Data</t>
  </si>
  <si>
    <t>Manching</t>
  </si>
  <si>
    <t>HESYS TechnicalSystems GmbH &amp; Co. KG</t>
  </si>
  <si>
    <t>Associate Engineer</t>
  </si>
  <si>
    <t>Bristol Myers Squibb</t>
  </si>
  <si>
    <t>Arbeitsgebietsleiter Data Engineering &amp; Data Lake (w/m/d)</t>
  </si>
  <si>
    <t>Mainz</t>
  </si>
  <si>
    <t>Who Needs Engineers</t>
  </si>
  <si>
    <t>Administrative Assistant Data Integrity (m/w/d)</t>
  </si>
  <si>
    <t>Data Scientist/Analyst (m/w/d) Big Data Automotive</t>
  </si>
  <si>
    <t>(Senior) Data Analyst / Consultant - Data Science &amp; Consumer...</t>
  </si>
  <si>
    <t>IQVIA</t>
  </si>
  <si>
    <t>Online Marketing Trainee – Conversion Rate Optimization (m/w...</t>
  </si>
  <si>
    <t>xeomed GmbH &amp; Co. KG</t>
  </si>
  <si>
    <t>Osnabrück</t>
  </si>
  <si>
    <t>Senior Data Scientist (m/f/d) FinTech</t>
  </si>
  <si>
    <t>Selby Jennings</t>
  </si>
  <si>
    <t>60,000 € - 80,000 € pro Jahr</t>
  </si>
  <si>
    <t>Chief Data Officer / CDO (m|w|x)</t>
  </si>
  <si>
    <t>Senior Data Engineer Asset Intelligence Center (w/m/d)</t>
  </si>
  <si>
    <t>Projektmanager Business Intelligence/Data Warehouse (m/w/d)</t>
  </si>
  <si>
    <t>EXPERTS &amp; TALENTS Dresden GmbH</t>
  </si>
  <si>
    <t>Consultant (m/w/d) Master Data Management</t>
  </si>
  <si>
    <t>Oberkochen</t>
  </si>
  <si>
    <t>Process Expert Data Integrity</t>
  </si>
  <si>
    <t>Data Analyst (m/w/d) Ab Initio / Informatik / Python</t>
  </si>
  <si>
    <t>Financial Analyst (m/w/d)</t>
  </si>
  <si>
    <t>Michael Page</t>
  </si>
  <si>
    <t>Informatiker/ Mathematiker (m/w/d) im Bereich Data Science</t>
  </si>
  <si>
    <t>univativ GmbH</t>
  </si>
  <si>
    <t>Data Scientist / Mathematiker im Consulting (m/w/d) - Chemni...</t>
  </si>
  <si>
    <t>Chemnitz</t>
  </si>
  <si>
    <t>Python, Deep Learning</t>
  </si>
  <si>
    <t>Junior Prozessmanager / Business Analyst (m/w/d) Schwerpunkt...</t>
  </si>
  <si>
    <t>BRUNO BADER GmbH + Co. KG</t>
  </si>
  <si>
    <t>(Junior) Data Manager Subnational Insights &amp; Analytics (m/w/...</t>
  </si>
  <si>
    <t>Waldems</t>
  </si>
  <si>
    <t>INSIGHT Health GmbH &amp; Co. KG</t>
  </si>
  <si>
    <t>(Senior) Marketing Analyst (m/f/d)</t>
  </si>
  <si>
    <t>Sales Excellence Manager / Data Scientist (m/f/d)</t>
  </si>
  <si>
    <t>Werkstudent (m/w/d) Data Science / IT / Python / Karlsruhe</t>
  </si>
  <si>
    <t>Business Analyst</t>
  </si>
  <si>
    <t>Devexperts</t>
  </si>
  <si>
    <t>SQL, Excel, Jira</t>
  </si>
  <si>
    <t>Business Intelligence Experte (m/w/d) Big Data, IT Consultan...</t>
  </si>
  <si>
    <t>Ettlingen</t>
  </si>
  <si>
    <t>Smart Digital GmbH</t>
  </si>
  <si>
    <t>Stress Engineer – Structure (m/f/d)</t>
  </si>
  <si>
    <t>Direktvermittlung: Data Engineer (m/w/d) im Versicherungsumf...</t>
  </si>
  <si>
    <t>55,000 € - 65,000 € pro Jahr</t>
  </si>
  <si>
    <t>Adecco Personaldienstleistungen GmbH</t>
  </si>
  <si>
    <t>Global Support Engineer (m/w/d)</t>
  </si>
  <si>
    <t>Academic Work GmbH</t>
  </si>
  <si>
    <t>Data Engineer (M/W/D)</t>
  </si>
  <si>
    <t>Lehmanns Media GmbH</t>
  </si>
  <si>
    <t>Junior Marketing Consultant (m/w/d) Brand Manager FMCG in Di...</t>
  </si>
  <si>
    <t>a-team Personalmanagement</t>
  </si>
  <si>
    <t>Dualer Student (m/w/d) Informatik mit Schwerpunkt Computatio...</t>
  </si>
  <si>
    <t>Vodafone Deutschland</t>
  </si>
  <si>
    <t>Data Analyst / Controller (m/w/d) - Teilzeit</t>
  </si>
  <si>
    <t>Feldkirchen</t>
  </si>
  <si>
    <t>Nanotec Electronic GmbH und Co. KG</t>
  </si>
  <si>
    <t>Duales Studium Wirtschaftsinformatik B.Sc. – Fachrichtung Da...</t>
  </si>
  <si>
    <t>Komm.ONE</t>
  </si>
  <si>
    <t>Impact Evaluation/Data Manager (m/w/d) für Entwicklungsproje...</t>
  </si>
  <si>
    <t>Max und Ingeburg Herz Stiftung (MIHS)</t>
  </si>
  <si>
    <t>Vertriebscontroller (m/w/d)</t>
  </si>
  <si>
    <t>James Woodman</t>
  </si>
  <si>
    <t>60,000 € - 70,000 € pro Jahr</t>
  </si>
  <si>
    <t>Immowelt AG</t>
  </si>
  <si>
    <t>Mitarbeiter (m/w/d) Business Application Management - Schwer...</t>
  </si>
  <si>
    <t>Emlichheim</t>
  </si>
  <si>
    <t>Emsland Group</t>
  </si>
  <si>
    <t>W2-Professur für „Data Science – insbesondere Machine und De...</t>
  </si>
  <si>
    <t>Kiel</t>
  </si>
  <si>
    <t>Fachhochschule Kiel</t>
  </si>
  <si>
    <t>Abschlussarbeit Wirtschaftsinformatik (m/w/d)</t>
  </si>
  <si>
    <t>Buxtehude</t>
  </si>
  <si>
    <t>Data Scientists (m/w/d) für KI/ML - Videointerview möglich</t>
  </si>
  <si>
    <t>Fiducia &amp; GAD IT AG</t>
  </si>
  <si>
    <t>Data Scientist, Schwerpunkt Data Warehouse (m/w/d)</t>
  </si>
  <si>
    <t>- BG ETEM - Berufsgenossenschaft Energie Textil Elektro Medienerzeugnisse</t>
  </si>
  <si>
    <t>Lead Mechanical Engineer - Data Center</t>
  </si>
  <si>
    <t>Ashbys Consulting</t>
  </si>
  <si>
    <t>90,000 € - 110,000 € pro Jahr</t>
  </si>
  <si>
    <t>Data Analyst (m/w/d) Insurance Services</t>
  </si>
  <si>
    <t>Aioi Nissay Dowa Insurance Company of Europe SE</t>
  </si>
  <si>
    <t>Python Developer</t>
  </si>
  <si>
    <t>Data Manager (m/w/divers) Produktdaten / PIM</t>
  </si>
  <si>
    <t>Kempenich</t>
  </si>
  <si>
    <t>wolfcraft GmbH</t>
  </si>
  <si>
    <t>IT Consultant / Data Warehouse Specialist (m/w/d)</t>
  </si>
  <si>
    <t>DEVnet GmbH</t>
  </si>
  <si>
    <t>Consultant Machine Learning Engineering (m/w/d)</t>
  </si>
  <si>
    <t>Consultant (w/m/d) Business Analyse und Geschäftsprozessmana...</t>
  </si>
  <si>
    <t>MID GmbH</t>
  </si>
  <si>
    <t>Researcher (PhD Candidate) (m/f/d)</t>
  </si>
  <si>
    <t>Max-Planck-Gesellschaft für empirische Ästhetik</t>
  </si>
  <si>
    <t>Junior Software Engineer (m/w/d)</t>
  </si>
  <si>
    <t>(Senior) Data Scientist (f/m/d)</t>
  </si>
  <si>
    <t>Data collection Analyst Berlin 12 Month Contract</t>
  </si>
  <si>
    <t>Apollo Solutions</t>
  </si>
  <si>
    <t>Process Technician (m/f/d)</t>
  </si>
  <si>
    <t>Weßling</t>
  </si>
  <si>
    <t>Applied Scientist (NLP - Full Text Search) (w/m/d)</t>
  </si>
  <si>
    <t>Product Growth Lead - UK Healthtech, Berlin based</t>
  </si>
  <si>
    <t>HeliosX</t>
  </si>
  <si>
    <t>JUNIOR ACCOUNTANT</t>
  </si>
  <si>
    <t>40,000 € - 45,000 € pro Jahr</t>
  </si>
  <si>
    <t>Wirtschaftsingenieur für Stammdatenmanagement (m/w/d) / Glob...</t>
  </si>
  <si>
    <t>Buseck</t>
  </si>
  <si>
    <t>Alexander Binzel Schweisstechnik GmbH &amp; Co. KG</t>
  </si>
  <si>
    <t>Lab Technician</t>
  </si>
  <si>
    <t>EPM Scientific</t>
  </si>
  <si>
    <t>25 € pro Stunde</t>
  </si>
  <si>
    <t>Data Scientists (m/w/d) für KI/ML in Teilzeit - Videointervi...</t>
  </si>
  <si>
    <t>Financial Data Analyst Data Quality Management (m/w/d)</t>
  </si>
  <si>
    <t>Index Intelligence GmbH</t>
  </si>
  <si>
    <t>SQL-Entwickler / -Programmierer / -Developer (m/w/d)</t>
  </si>
  <si>
    <t>vor 22 Tagen</t>
  </si>
  <si>
    <t>Data Analyst (w/m/d) Produktmanagement und Vertriebssteuerun...</t>
  </si>
  <si>
    <t>Energie und Wasser GmbH</t>
  </si>
  <si>
    <t>Data Engineer (d/m/w)</t>
  </si>
  <si>
    <t>NÜRNBERGER Versicherung</t>
  </si>
  <si>
    <t>SQL, Machine Learning, Agile</t>
  </si>
  <si>
    <t>Credit Analyst Structured Finance (m/f/d)</t>
  </si>
  <si>
    <t>Creditreform Rating AG</t>
  </si>
  <si>
    <t>Wealth Management Middle Officer</t>
  </si>
  <si>
    <t>Financial Reporting and Systems Analyst - HFM/ Essbase</t>
  </si>
  <si>
    <t>SystemsAccountants</t>
  </si>
  <si>
    <t>Strategy Manager (m/f/d)</t>
  </si>
  <si>
    <t>PRA Group Deutschland GmbH</t>
  </si>
  <si>
    <t>SQL-Entwickler/ -Programmierer/ -Developer (m/w/d)</t>
  </si>
  <si>
    <t>INSIGHT Health GmbH &amp; CO. KG</t>
  </si>
  <si>
    <t>Consultant Data Science (Cognitive Computing) (m/w/d)</t>
  </si>
  <si>
    <t>Python, SQL, Deep Learning</t>
  </si>
  <si>
    <t>Applied Science Manager - Retail Data Products (w/m/d)</t>
  </si>
  <si>
    <t>Python, SQL, Excel, Machine Learning, Statistic, Git, Agile</t>
  </si>
  <si>
    <t>Equity Trading &amp; Hedging</t>
  </si>
  <si>
    <t>Anker Investments AG</t>
  </si>
  <si>
    <t>Credit Risk Modeller</t>
  </si>
  <si>
    <t>Hamlyn Williams</t>
  </si>
  <si>
    <t>Bachelor of Science - Wirtschaftsinformatik (m/w/d)</t>
  </si>
  <si>
    <t>Sparkasse Karlsruhe</t>
  </si>
  <si>
    <t>Praktikum im Business Intelligence - Bereich Betriebsorganis...</t>
  </si>
  <si>
    <t>Coburg</t>
  </si>
  <si>
    <t>HUK-COBURG Versicherungsgruppe</t>
  </si>
  <si>
    <t>Consultant Automatisierung (m/w/d)</t>
  </si>
  <si>
    <t>Ing. Punzenberger COPA-DATA GmbH</t>
  </si>
  <si>
    <t>Structured Finance Data Analyst (m/f/d) Native Level Speaker...</t>
  </si>
  <si>
    <t>European DataWarehouse GmbH</t>
  </si>
  <si>
    <t>Valuation Expert for Complex Financial Instruments</t>
  </si>
  <si>
    <t>Brock &amp; Decker</t>
  </si>
  <si>
    <t>Senior Researcher Machine Learning (m/f/d) for Leading Resea...</t>
  </si>
  <si>
    <t>Glocomms</t>
  </si>
  <si>
    <t>60,000 € - 100,000 € pro Jahr</t>
  </si>
  <si>
    <t>Director Data Analysis &amp; Simulation (w/m/d)</t>
  </si>
  <si>
    <t>Giebelstadt</t>
  </si>
  <si>
    <t>SSI Schäfer Automation GmbH</t>
  </si>
  <si>
    <t>C# Developer</t>
  </si>
  <si>
    <t>60,000 € - 90,000 € pro Jahr</t>
  </si>
  <si>
    <t>Clinical Associate - Med Devices Support (Berne, Switzerland...</t>
  </si>
  <si>
    <t>Berne</t>
  </si>
  <si>
    <t>NuVasive</t>
  </si>
  <si>
    <t>75,000 € - 85,000 € pro Jahr</t>
  </si>
  <si>
    <t>Financial Controller (Frankfurt)</t>
  </si>
  <si>
    <t>Dartmouth Partners</t>
  </si>
  <si>
    <t>CRM Data &amp; Lead Management Expert (m/f/d)</t>
  </si>
  <si>
    <t>Weilheim in Oberbayern</t>
  </si>
  <si>
    <t>Xylem Analytics Germany GmbH</t>
  </si>
  <si>
    <t>(Senior) Data Engineer (m/f/d)</t>
  </si>
  <si>
    <t>60,000 € - 85,000 € pro Jahr</t>
  </si>
  <si>
    <t>Python, SQL, Git, Jira</t>
  </si>
  <si>
    <t>Systems Engineer - Baden-Württemberg - Stuttgart/Leonberg/Ka...</t>
  </si>
  <si>
    <t>Veeam</t>
  </si>
  <si>
    <t>Business Analyst (m/w/d) Agiles Anforderungsmanagement</t>
  </si>
  <si>
    <t>Git, Agile, Jira</t>
  </si>
  <si>
    <t>Duales Studium Wirtschaftsinformatik (B.Sc.)</t>
  </si>
  <si>
    <t>IUBH Duales Studium</t>
  </si>
  <si>
    <t>vor 29 Tagen</t>
  </si>
  <si>
    <t>Bachelor of Science, Wirtschaftsinformatik mit dem Schwerpun...</t>
  </si>
  <si>
    <t>Fraport AG</t>
  </si>
  <si>
    <t>Consultant Schwerpunkt Smart City (m/w/d)</t>
  </si>
  <si>
    <t>Duales Studium Wirtschaftsinformatik 2021</t>
  </si>
  <si>
    <t>vor 8 Tagen</t>
  </si>
  <si>
    <t>Fachinformatiker für Anwendungsentwicklung im Bereich Busine...</t>
  </si>
  <si>
    <t>Machine learning scientist (m/w/d)</t>
  </si>
  <si>
    <t>DEEPSPIN</t>
  </si>
  <si>
    <t>Marketing Science Partner DACH</t>
  </si>
  <si>
    <t>Hamburg, Freie und Hansestadt</t>
  </si>
  <si>
    <t>SQL, Excel, Statistic, Git</t>
  </si>
  <si>
    <t>Master Data Management-Specialist (w/m/d) im Bereich Maschin...</t>
  </si>
  <si>
    <t>Hemro Manufacturing Germany GmbH</t>
  </si>
  <si>
    <t>Softwareentwickler*in</t>
  </si>
  <si>
    <t>synyx GmbH &amp; Co. KG</t>
  </si>
  <si>
    <t>Ludwigshafen am Rhein</t>
  </si>
  <si>
    <t>Mitarbeiter "Anwendungsentwicklung“ (m/w/d) in Teil- oder Vo...</t>
  </si>
  <si>
    <t>Uhlstädt-Kirchhasel</t>
  </si>
  <si>
    <t>Volksbank eG Gera • Jena • Rudolstadt</t>
  </si>
  <si>
    <t>Praktikum MINT - Bereich Aktuariat Komposit (w/m/d)</t>
  </si>
  <si>
    <t>Fachinformiker Daten- und Prozessanalyse (m/w/d) – 2020</t>
  </si>
  <si>
    <t>Controller (m/w/d)</t>
  </si>
  <si>
    <t>Bad Wildungen</t>
  </si>
  <si>
    <t>Asklepios Stadtklinik Bad Wildungen</t>
  </si>
  <si>
    <t>Java Developer</t>
  </si>
  <si>
    <t>Oracle PL/SQL / APEX Developer (m/w/d)</t>
  </si>
  <si>
    <t>nexnet GmbH</t>
  </si>
  <si>
    <t>Scrum Master/Agile Coach (m/w/d) in Voll- oder Teilzeit</t>
  </si>
  <si>
    <t>Head of Master Data Management (m/w/d)</t>
  </si>
  <si>
    <t>BPW Aftermarket Group Deutschland GmbH</t>
  </si>
  <si>
    <t>Lead Electrical Engineer - Data Center</t>
  </si>
  <si>
    <t>Projektassistenz (m/w/d) Data Analystics/ Robotics</t>
  </si>
  <si>
    <t>Quantitative Consultant</t>
  </si>
  <si>
    <t>Albert Cliff</t>
  </si>
  <si>
    <t>Softwareentwickler Datawarehouse und Business Intelligence (...</t>
  </si>
  <si>
    <t>LBS Westdeutsche Landesbausparkasse</t>
  </si>
  <si>
    <t>Softwareentwickler - Developer (g*) Frontend bzw. Backend mi...</t>
  </si>
  <si>
    <t>Dirk Kremer Consulting</t>
  </si>
  <si>
    <t>Software-Entwickler (m/w/d) Backend Webservicetechnologien</t>
  </si>
  <si>
    <t>Ottweiler</t>
  </si>
  <si>
    <t>OBG Gruppe GmbH</t>
  </si>
  <si>
    <t>Referent im Projekt "Open Energy Meter Data" (m/w/d)</t>
  </si>
  <si>
    <t>Kaiserslautern</t>
  </si>
  <si>
    <t>Energieagentur Rheinland Pfalz GmbH</t>
  </si>
  <si>
    <t>Software Engineer (m/w/d) Smart Data (KundenFokus) - Videoin...</t>
  </si>
  <si>
    <t>vor 15 Tagen</t>
  </si>
  <si>
    <t>Ausbildung zum Fachinformatiker Anwendungsentwicklung (m/w/d...</t>
  </si>
  <si>
    <t>stable data GmbH</t>
  </si>
  <si>
    <t>Softwareentwickler / Informatiker / Anwendungsentwickler / P...</t>
  </si>
  <si>
    <t>.NET Entwickler (m/w/d)</t>
  </si>
  <si>
    <t>Ausbildung zum Fachinformatiker (m/w/d) Systemintegration</t>
  </si>
  <si>
    <t>ING Deutschland</t>
  </si>
  <si>
    <t>Teilprojektleitung Applikationsentwicklung und -management (...</t>
  </si>
  <si>
    <t>Tegel Projekt GmbH</t>
  </si>
  <si>
    <t>Aktuar im Bereich Statistik/Bilanzmathematik (m/w/d)</t>
  </si>
  <si>
    <t>Dr. Weber &amp; Partner GmbH</t>
  </si>
  <si>
    <t>Manager, Business Analytics</t>
  </si>
  <si>
    <t>PayPal</t>
  </si>
  <si>
    <t>Strategic Partner Consultant - ZMS</t>
  </si>
  <si>
    <t>Praktikum IT (m/w/d) Data Science / Informatik</t>
  </si>
  <si>
    <t>Sindelfingen</t>
  </si>
  <si>
    <t>Workforce Management Specialist (f/m/d)</t>
  </si>
  <si>
    <t>Vivid Money GmbH</t>
  </si>
  <si>
    <t>2,000 € - 2,500 € pro Monat</t>
  </si>
  <si>
    <t>Program Manager (m/w/d)</t>
  </si>
  <si>
    <t>Conexon GmbH</t>
  </si>
  <si>
    <t>Tableau, Excel, Git, Agile</t>
  </si>
  <si>
    <t>Kaufmännischer Spezialist (m/w/d) mit Fokus Stammdatenpflege</t>
  </si>
  <si>
    <t>Fürstenwalde/Spree</t>
  </si>
  <si>
    <t>Bonava Deutschland GmbH</t>
  </si>
  <si>
    <t>CRM E-Mail Marketing Manager/in</t>
  </si>
  <si>
    <t>OLIVEDA Deutschland GmbH</t>
  </si>
  <si>
    <t>Chief Data Officer</t>
  </si>
  <si>
    <t>Forsyth Barnes</t>
  </si>
  <si>
    <t>FERMENTATION ENGINEER (M/W/D)</t>
  </si>
  <si>
    <t>Leuna</t>
  </si>
  <si>
    <t>Global Bioenergies</t>
  </si>
  <si>
    <t>Business Intelligence Consultant - SAP BW/4HANA</t>
  </si>
  <si>
    <t>PROJECT MANAGER (M/W/D)</t>
  </si>
  <si>
    <t>Product Data Manager (m/w/d)</t>
  </si>
  <si>
    <t>Junior DATA Specialist – Schwerpunkt EDI (m/w/d)</t>
  </si>
  <si>
    <t>Fridolfing</t>
  </si>
  <si>
    <t>Hermann Otto GmbH</t>
  </si>
  <si>
    <t>Duales Studium 2021: B.Sc. Wirtschaftsinformatik (w/m/d)</t>
  </si>
  <si>
    <t>Fujitsu Technology Solutions GmbH</t>
  </si>
  <si>
    <t>Director Enterprise</t>
  </si>
  <si>
    <t>Agile Software Testing (m/f/d)</t>
  </si>
  <si>
    <t>Senior IT Consultant / Data Warehouse Specialist (m/w/d)</t>
  </si>
  <si>
    <t>Senior IT Consultant / Business Intelligence Specialist (m/w...</t>
  </si>
  <si>
    <t>Senior Data Engineer (M/F/DIV)</t>
  </si>
  <si>
    <t>Dept Agency DE</t>
  </si>
  <si>
    <t>Python, SQL, Excel, Machine Learning, Git</t>
  </si>
  <si>
    <t>IT Business Analyst (m/w/d)</t>
  </si>
  <si>
    <t>Refresco Deutschland GmbH</t>
  </si>
  <si>
    <t>Git, Agile, Scrum</t>
  </si>
  <si>
    <t>Für Freelancer: Softwareentwickler mit Schwerpunkt Data Anal...</t>
  </si>
  <si>
    <t>Für Freelancer: Data Warehouse Manager (w/m/d) in Frankfurt...</t>
  </si>
  <si>
    <t>Meta Analysis - consultant</t>
  </si>
  <si>
    <t>Barrington James</t>
  </si>
  <si>
    <t>Für Freelancer: IT Projektmanager GMP (w/d/m)</t>
  </si>
  <si>
    <t>Für Freelancer: Splunk-Berater (m/w/d)</t>
  </si>
  <si>
    <t>Für Freelancer: Data Engineering - Big Data</t>
  </si>
  <si>
    <t>Statistical Geneticist - Pharma</t>
  </si>
  <si>
    <t>Paramount Recruitment Limited</t>
  </si>
  <si>
    <t>Data Center Engineer (m/w/d)</t>
  </si>
  <si>
    <t>wu personal GmbH</t>
  </si>
  <si>
    <t>Risk Analyst</t>
  </si>
  <si>
    <t>Haybury</t>
  </si>
  <si>
    <t>Für Freelancer: Junior SAP Data Services Entwickler - Hambur...</t>
  </si>
  <si>
    <t>Meta Analysis - Research Consultant</t>
  </si>
  <si>
    <t>Bioinformatician</t>
  </si>
  <si>
    <t>Umbilical Life</t>
  </si>
  <si>
    <t>Für Freelancer: SAP Data Migration Consultant / SAP-Datenmig...</t>
  </si>
  <si>
    <t>Für Freelancer: Data Management</t>
  </si>
  <si>
    <t>Elberfeld</t>
  </si>
  <si>
    <t>Für Freelancer: Freiberuflicher BI-Entwickler (m/w/d) in Mün...</t>
  </si>
  <si>
    <t>Für Freelancer: BI Developer</t>
  </si>
  <si>
    <t>Für Freelancer: IBM DataStage Specialist - 100% Remote work...</t>
  </si>
  <si>
    <t>Für Freelancer: München und remote: ODI Oracle Data Integrat...</t>
  </si>
  <si>
    <t>Für Freelancer: Teamlead Data Center &amp; Cloud Operations (Iaa...</t>
  </si>
  <si>
    <t>Linux, Agile</t>
  </si>
  <si>
    <t>Für Freelancer: Drupal-Spezialisten (m/w/d)</t>
  </si>
  <si>
    <t>Excel, Agile, Scrum</t>
  </si>
  <si>
    <t>Für Freelancer: Business Analyst (m/w/d)</t>
  </si>
  <si>
    <t>Für Freelancer: CRM Analyst gesucht</t>
  </si>
  <si>
    <t>Für Freelancer: SIEM Engineer/Specialist</t>
  </si>
  <si>
    <t>Für Freelancer: Data Center Architect (m/w/d)</t>
  </si>
  <si>
    <t>Für Freelancer: CG</t>
  </si>
  <si>
    <t>Statistician - Network Meta Analysis</t>
  </si>
  <si>
    <t>Für Freelancer: Experte (m/w/d) Automatisierung SASPF in Bon...</t>
  </si>
  <si>
    <t>Für Freelancer: Fullstack Developer (Main Emphasis on Fronte...</t>
  </si>
  <si>
    <t>Data Engineer - Intelligent Content (m/w/d)</t>
  </si>
  <si>
    <t>Ippen Digital GmbH &amp; Co. KG</t>
  </si>
  <si>
    <t>Für Freelancer: Productmanager Berlin/Remote</t>
  </si>
  <si>
    <t>500 € - 600 € pro Monat</t>
  </si>
  <si>
    <t>Für Freelancer: Solution Architect RSA IGL (m/f/d)</t>
  </si>
  <si>
    <t>Research Consultant - Network Meta Analysis</t>
  </si>
  <si>
    <t>Für Freelancer: Big Data Engineer (m/w/d) für D-7 gesucht!</t>
  </si>
  <si>
    <t>Protein Scientist x 3</t>
  </si>
  <si>
    <t>NonStop Consulting</t>
  </si>
  <si>
    <t>Für Freelancer: Adobe Experience Marketing Cloud Experte (m/...</t>
  </si>
  <si>
    <t>Für Freelancer: Technischer Consultant (m/w/d)</t>
  </si>
  <si>
    <t>Junior IT-Architekt für DWH-Anwendungen (m/w/d)</t>
  </si>
  <si>
    <t>Finanz-DATA GmbH</t>
  </si>
  <si>
    <t>Für Freelancer: Systems Engineer für München/Nürnberg gesuch...</t>
  </si>
  <si>
    <t>Scientific Programmer - Bioinformatics</t>
  </si>
  <si>
    <t>Proclinical Staffing</t>
  </si>
  <si>
    <t>Für Freelancer: SW Plattform Architect</t>
  </si>
  <si>
    <t>Excel, Linux</t>
  </si>
  <si>
    <t>AWS Cloud Data Architect (m/w/d)</t>
  </si>
  <si>
    <t>Weikersheim</t>
  </si>
  <si>
    <t>TecAlliance GmbH</t>
  </si>
  <si>
    <t>Für Freelancer: PoC: Webscraping in R</t>
  </si>
  <si>
    <t>Für Freelancer: DHW Entwickler (m/w/d)</t>
  </si>
  <si>
    <t>Für Freelancer: NetApp Experte (m/w/d)</t>
  </si>
  <si>
    <t>Für Freelancer: CA</t>
  </si>
  <si>
    <t>Für Freelancer: Softwareentwicklung im Bereich Big Data</t>
  </si>
  <si>
    <t>Für Freelancer: Endkundenanfrage ID-2480: Analyst, Architect...</t>
  </si>
  <si>
    <t>Für Freelancer: Power Apps Entwickler</t>
  </si>
  <si>
    <t>Für Freelancer: DWH Architekt</t>
  </si>
  <si>
    <t>Für Freelancer: Informatica MDG Consultant (w/m/d)</t>
  </si>
  <si>
    <t>Für Freelancer: Test Management Automation</t>
  </si>
  <si>
    <t>Für Freelancer: Senior Software Developer (m/w/d) - Frankfur...</t>
  </si>
  <si>
    <t>Für Freelancer: Azure DevOps / BI Spezialist (m/w/d)</t>
  </si>
  <si>
    <t>Für Freelancer: Unterstützung Validierung / GMP - Fulltime -...</t>
  </si>
  <si>
    <t>Für Freelancer: BI-Spezialist (m/w/d)</t>
  </si>
  <si>
    <t>Senior IDMP Consultant</t>
  </si>
  <si>
    <t>85,000 € pro Jahr</t>
  </si>
  <si>
    <t>Data Integration Engineer (m/w/d)</t>
  </si>
  <si>
    <t>Für Freelancer: Softwarearchitekt (m/w/d)</t>
  </si>
  <si>
    <t>Für Freelancer: Cloud Entwickler &amp; Consultant (m/w/d)</t>
  </si>
  <si>
    <t>Python, SQL, Scrum</t>
  </si>
  <si>
    <t>Für Freelancer: Senior Monitoring Consultant</t>
  </si>
  <si>
    <t>Für Freelancer: SAP MDG, SAP ABAP Entwickler (m/w/d) remote</t>
  </si>
  <si>
    <t>Research Consultant - Meta Analysis</t>
  </si>
  <si>
    <t>Für Freelancer: SQL Server DBA</t>
  </si>
  <si>
    <t>Statistician / Research Consultant - Meta Analysis</t>
  </si>
  <si>
    <t>Global Team Leader - Marketing Strategy</t>
  </si>
  <si>
    <t>Für Freelancer: Elasticsearch Experte (m/w/d)</t>
  </si>
  <si>
    <t>Bayern</t>
  </si>
  <si>
    <t>Für Freelancer: Project Manager Embargo, PeP and money laund...</t>
  </si>
  <si>
    <t>Westfalen</t>
  </si>
  <si>
    <t>Für Freelancer: Oracle OBIEE Entwickler (m/w/d )</t>
  </si>
  <si>
    <t>Für Freelancer: DevOps Engineer (m/f/d) in Media Industry -...</t>
  </si>
  <si>
    <t>Clinical Research Associate</t>
  </si>
  <si>
    <t>Advanced Clinical</t>
  </si>
  <si>
    <t>Medella Life</t>
  </si>
  <si>
    <t>65 € pro Stunde</t>
  </si>
  <si>
    <t>STUDY START-UP ASSOCIATE, MUNICH</t>
  </si>
  <si>
    <t>Covance</t>
  </si>
  <si>
    <t>Für Freelancer: Berater SAP ILM (DSGVO) für SAP HCM</t>
  </si>
  <si>
    <t>Für Freelancer: Interim IT Projekt Manager - Application Man...</t>
  </si>
  <si>
    <t>Biostatistician (Oncology) (M/F/D)</t>
  </si>
  <si>
    <t>i-Pharm Consulting</t>
  </si>
  <si>
    <t>Für Freelancer: Interim Manager (m/w/d)- Immobilienfonds &amp; D...</t>
  </si>
  <si>
    <t>Für Freelancer: Technical Lead Datenbank-Replikation (m/w/d)</t>
  </si>
  <si>
    <t>MEP Data Centre Design Coordinator</t>
  </si>
  <si>
    <t>100,000 € - 120,000 € pro Jahr</t>
  </si>
  <si>
    <t>Für Freelancer: Web-Researcher gesucht</t>
  </si>
  <si>
    <t>Bretten</t>
  </si>
  <si>
    <t>Für Freelancer: AWS Developer - 100% remote till December -...</t>
  </si>
  <si>
    <t>Reporting Specialist (m/w/d)</t>
  </si>
  <si>
    <t>Yusen Logistics (Deutschland) GmbH</t>
  </si>
  <si>
    <t>Für Freelancer: Splunk/Tabelau</t>
  </si>
  <si>
    <t>Operator Formulation Development</t>
  </si>
  <si>
    <t>Für Freelancer: Testmanager mit Banken Erfahrung</t>
  </si>
  <si>
    <t>Clinical Coordinator</t>
  </si>
  <si>
    <t>Für Freelancer: Berlin: Java Entwickler gesucht</t>
  </si>
  <si>
    <t>Scrum</t>
  </si>
  <si>
    <t>Production IT Engineer*</t>
  </si>
  <si>
    <t>SCHOTT AG</t>
  </si>
  <si>
    <t>Für Freelancer: DWH Architekt - DB2, DataVault</t>
  </si>
  <si>
    <t>Für Freelancer: Software Engineer (PLAPP) (m/w/d) - 54087/FL</t>
  </si>
  <si>
    <t>Für Freelancer: Senior Clinical Data Manager</t>
  </si>
  <si>
    <t>Für Freelancer: Projekt: Oracle DWH Entwicklung in Hamburg</t>
  </si>
  <si>
    <t>Für Freelancer: iOS oder Android Entwicklung mit Tealium Dat...</t>
  </si>
  <si>
    <t>Für Freelancer: Fullstack Frontend Entwickler (m/w/d)</t>
  </si>
  <si>
    <t>Für Freelancer: SAP 2nd Level Support 200PT ab Januar 2021 (...</t>
  </si>
  <si>
    <t>Für Freelancer: Software Engineer (m/w/d) für Ulm gesucht</t>
  </si>
  <si>
    <t>Für Freelancer: Solution Architekt gesucht (m/w/d) // Hambur...</t>
  </si>
  <si>
    <t>Data Steward - Computational Biology</t>
  </si>
  <si>
    <t>Für Freelancer: Freelance SAP QM Projektmanager gesucht</t>
  </si>
  <si>
    <t>Pfaffenhofen an der Ilm</t>
  </si>
  <si>
    <t>Für Freelancer: Freelance DevOps Engineer - Berlin</t>
  </si>
  <si>
    <t>Für Freelancer: Projekt: Administration SAS Analytics in Wie...</t>
  </si>
  <si>
    <t>Für Freelancer: Engineer VMware und Hybrid Cloud (m/w/d)</t>
  </si>
  <si>
    <t>Für Freelancer: C # / .Net Softwareentwickler (m/w/d)</t>
  </si>
  <si>
    <t>Für Freelancer: IAM Risk Management Experte (m/w/d) - Essen...</t>
  </si>
  <si>
    <t>Für Freelancer: iOS Developer - Berlin - 3 Monatsprojekt - S...</t>
  </si>
  <si>
    <t>Für Freelancer: Applikation Manager Klinisch/Medizinischer S...</t>
  </si>
  <si>
    <t>Für Freelancer: SAP Anwendungsbetreuer (m/w/d) ID: 2526</t>
  </si>
  <si>
    <t>Für Freelancer: SAP S/4HANA Services Berater (m/w/d)</t>
  </si>
  <si>
    <t>Für Freelancer: Data Engineer im Bereich Chemie (w/m/d) FULL...</t>
  </si>
  <si>
    <t>Für Freelancer: SAP FSDP Consultant</t>
  </si>
  <si>
    <t>Für Freelancer: Hyperion Financial Management - 100% remote...</t>
  </si>
  <si>
    <t>Für Freelancer: Gaia Los 1 - Infrastruktur/ DB/ Middleware-S...</t>
  </si>
  <si>
    <t>SQL, Linux</t>
  </si>
  <si>
    <t>Für Freelancer: Interim Business Intelligence Director (m/w/...</t>
  </si>
  <si>
    <t>Für Freelancer: DWH (Senior) Consultant mit Data Vault Erfah...</t>
  </si>
  <si>
    <t>Für Freelancer: Projektleiter IT Infrastruktur (m/w/d) - Dat...</t>
  </si>
  <si>
    <t>Für Freelancer: Systemingenieur (m/w/d)</t>
  </si>
  <si>
    <t>Junior Big Data and Stream Processing Engineer (m/w/d) - Bus...</t>
  </si>
  <si>
    <t>Reply AG</t>
  </si>
  <si>
    <t>Data Scientist (m/w/d) in der Medizintechnik - Datenbankentw...</t>
  </si>
  <si>
    <t>Global Market Solutions</t>
  </si>
  <si>
    <t>Digital Trainee „New Digital Business” (w/m/d) - Datenbanken...</t>
  </si>
  <si>
    <t>Deutsche Bahn AG</t>
  </si>
  <si>
    <t>Für Freelancer: DevOps Engineer (w/m/d) mit Azure IoT Hub Pr...</t>
  </si>
  <si>
    <t>Junior IT-Consultant (m/w/d) im Bereich BI / Analytics - Con...</t>
  </si>
  <si>
    <t>ec4u expert consulting ag</t>
  </si>
  <si>
    <t>Wolkenschubser (m/w/d) - Anwendungsentwicklung, Datenbankent...</t>
  </si>
  <si>
    <t>b.telligent GmbH &amp; Co. KG</t>
  </si>
  <si>
    <t>Junior Web Developer (m/f/d) - Anwendungsentwicklung, IT</t>
  </si>
  <si>
    <t>KING Art GmbH</t>
  </si>
  <si>
    <t>KI Professionals GmbH</t>
  </si>
  <si>
    <t>Young Professionals m/w/d Informatik / Wirtschaftsinformatik...</t>
  </si>
  <si>
    <t>Consist Software Solutions GmbH</t>
  </si>
  <si>
    <t>Software-Engineer(m/w/d) und Machine-Learning-Experte (m/w/d...</t>
  </si>
  <si>
    <t>freiheit.com technologies gmbh</t>
  </si>
  <si>
    <t>Praktikum Digitalisierung / Industrie 4.0 (m/w/d) - Datenban...</t>
  </si>
  <si>
    <t>BASF SE</t>
  </si>
  <si>
    <t>Analyst (m/w/d) Advanced Analytics in Operations / Automotiv...</t>
  </si>
  <si>
    <t>BearingPoint GmbH</t>
  </si>
  <si>
    <t>Business Analyst (w/m/d) - Business Analysis, IT</t>
  </si>
  <si>
    <t>EnBW Energie Baden-Württemberg AG</t>
  </si>
  <si>
    <t>System Engineer for Control Systems and Data Modelling / IT...</t>
  </si>
  <si>
    <t>DNV GL SE</t>
  </si>
  <si>
    <t>Junior Java Entwickler (w/m/d) - Anwendungsentwicklung, IT</t>
  </si>
  <si>
    <t>Berater Business Technology Advisory (m/w/d) - Business Anal...</t>
  </si>
  <si>
    <t>Detecon International GmbH</t>
  </si>
  <si>
    <t>(Junior) Consultant (w/m/d) IT Prozesse, Big Data und Compli...</t>
  </si>
  <si>
    <t>KPMG AG Wirtschaftsprüfungsgesellschaft</t>
  </si>
  <si>
    <t>Für Freelancer: Python Developer - Freelance/Contractor - Re...</t>
  </si>
  <si>
    <t>Für Freelancer: Python Developer</t>
  </si>
  <si>
    <t>Für Freelancer: Specialist Automated Testing ? Lab Data Auto...</t>
  </si>
  <si>
    <t>Für Freelancer: Project Manager SCRUM (m/w/d)</t>
  </si>
  <si>
    <t>Für Freelancer: The Senior Clinical Data Manager</t>
  </si>
  <si>
    <t>Electronic Engineer for Analog and Digital Systems (Remunera...</t>
  </si>
  <si>
    <t>DESY</t>
  </si>
  <si>
    <t>Für Freelancer: Salesforce Architekt (m/w/d)</t>
  </si>
  <si>
    <t>Statistician- Meta Analysis</t>
  </si>
  <si>
    <t>Für Freelancer: 2 Experten (m/w/d) für Sicherheitskonzepte u...</t>
  </si>
  <si>
    <t>ERP-MITARBEITER/DATA-ANALYST (m/w/d)</t>
  </si>
  <si>
    <t>MEGA Das Fach-Zentrum für die Metzgerei und Gastronomie eG</t>
  </si>
  <si>
    <t>Für Freelancer: Business Analyst SAP BI w/m/d</t>
  </si>
  <si>
    <t>SQL, Kanban, Jira</t>
  </si>
  <si>
    <t>Für Freelancer: EAI Solution Architekt (m/w/d) / Einführung...</t>
  </si>
  <si>
    <t>Erfurt</t>
  </si>
  <si>
    <t>Für Freelancer: Powercloud Developer (m/w/d) in München/ Rem...</t>
  </si>
  <si>
    <t>Für Freelancer: Project in Munich-with Remote: Backend Devel...</t>
  </si>
  <si>
    <t>DevOps Engineer - Streaming Focus (m/w/d)</t>
  </si>
  <si>
    <t>Git, Linux, Agile</t>
  </si>
  <si>
    <t>Für Freelancer: SAP MDG ABAP Senior Entwickler (w/m/d) für e...</t>
  </si>
  <si>
    <t>Für Freelancer: Projekt in Hannover: SAP BW Berater/Entwickl...</t>
  </si>
  <si>
    <t>Entwickler für Java-Anwendungen (m/w/d)</t>
  </si>
  <si>
    <t>Für Freelancer: Projekt in Karlsruhe: Enterprise Architect (...</t>
  </si>
  <si>
    <t>Für Freelancer: Solution Architekt SAP BI w/m/d</t>
  </si>
  <si>
    <t>Für Freelancer: SAP Systemadministrator (m/w/d) #7257</t>
  </si>
  <si>
    <t>Für Freelancer: Freelance Senior Java Developer</t>
  </si>
  <si>
    <t>Für Freelancer: Software Engineer / DevOps Architekt (m/w)</t>
  </si>
  <si>
    <t>Linux, Scrum</t>
  </si>
  <si>
    <t>Für Freelancer: SAP und Opentext Berater 200PT ab Januar (m/...</t>
  </si>
  <si>
    <t>Für Freelancer: Projekt: Softwareentwicklung Java</t>
  </si>
  <si>
    <t>Git, Scrum</t>
  </si>
  <si>
    <t>Für Freelancer: Java / SpringBoot Entwickler (m/w/d) Integra...</t>
  </si>
  <si>
    <t>(Junior/Senior) SQL-Entwickler/ -Programmierer/ -Developer (...</t>
  </si>
  <si>
    <t>Data Center Technician</t>
  </si>
  <si>
    <t>Amazon Web Services (AWS)</t>
  </si>
  <si>
    <t>Für Freelancer: Java / Cloud Entwickler (w/m) in Hamburg für...</t>
  </si>
  <si>
    <t>Für Freelancer: Power BI Entwickler (m/w/d)</t>
  </si>
  <si>
    <t>Für Freelancer: Produktmanager Data Management</t>
  </si>
  <si>
    <t>Für Freelancer: Senior Python Developer</t>
  </si>
  <si>
    <t>VIE DATA ANALYTICS / EXPERT SYSTEM CONSORS FINANZ – MUNICH -...</t>
  </si>
  <si>
    <t>BNP Paribas Personal Finance</t>
  </si>
  <si>
    <t>Jython, SQL, Linux</t>
  </si>
  <si>
    <t>Graph Technology Data Engineer (m/f/d)</t>
  </si>
  <si>
    <t>Bootcamp Pflichtpraktikant (m/w/d) Softwareentwicklung</t>
  </si>
  <si>
    <t>Interone GmbH</t>
  </si>
  <si>
    <t>Git, Kanban</t>
  </si>
  <si>
    <t>Junior Consultant</t>
  </si>
  <si>
    <t>Cytel</t>
  </si>
  <si>
    <t>Für Freelancer: Freelance Senior Projektmanager (m/w/d)</t>
  </si>
  <si>
    <t>Für Freelancer: Ephesus - Architektur: Architekt Anwendungsa...</t>
  </si>
  <si>
    <t>SQL, Git, Agile, Scrum</t>
  </si>
  <si>
    <t>Für Freelancer: Consultant Infor BIRST (m/f/d)</t>
  </si>
  <si>
    <t>Für Freelancer: Projektleiter (m/w/d) Data Science</t>
  </si>
  <si>
    <t>Göppingen</t>
  </si>
  <si>
    <t>Agile, Scrum, Kanban</t>
  </si>
  <si>
    <t>Für Freelancer: Freelance Coaching Projekt IAM (Keycloak)</t>
  </si>
  <si>
    <t>Für Freelancer: Power BI Entwickler (m/w/x)</t>
  </si>
  <si>
    <t>Java Software-Entwickler (m/w/d) für Backend</t>
  </si>
  <si>
    <t>SQL, Git, Agile, Scrum, Kanban</t>
  </si>
  <si>
    <t>Clinical Research Assistant</t>
  </si>
  <si>
    <t>Docs Global (Continental Europe)</t>
  </si>
  <si>
    <t>Clinical Research Associate, Germany - M</t>
  </si>
  <si>
    <t>CROMSOURCE</t>
  </si>
  <si>
    <t>Clinical Research Associate / Phase II&amp;III (m/f)</t>
  </si>
  <si>
    <t>https://docs.google.com/spreadsheets/d/1hbDSqwyxGg1KPa_rqkVENqXJa6JhTOz3qJ33Jrz2Wz0/edit#gid=973749186</t>
  </si>
  <si>
    <t>owid-covid-data_eu&amp;asia!A2:L19841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</si>
  <si>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</si>
  <si>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</si>
  <si>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</si>
  <si>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</si>
  <si>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</si>
  <si>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</si>
  <si>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</si>
  <si>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</si>
  <si>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</si>
  <si>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</si>
  <si>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</si>
  <si>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</si>
  <si>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iso_code</t>
  </si>
  <si>
    <t>continent</t>
  </si>
  <si>
    <t>location</t>
  </si>
  <si>
    <t>date</t>
  </si>
  <si>
    <t>total_cases</t>
  </si>
  <si>
    <t>new_cases</t>
  </si>
  <si>
    <t>total_deaths</t>
  </si>
  <si>
    <t>new_deaths</t>
  </si>
  <si>
    <t>total_vaccinations</t>
  </si>
  <si>
    <t>new_vaccinations</t>
  </si>
  <si>
    <t>population</t>
  </si>
  <si>
    <t>gdp_per_capita</t>
  </si>
  <si>
    <t>Select Continent</t>
  </si>
  <si>
    <t>Ascending?</t>
  </si>
  <si>
    <t>Europe</t>
  </si>
  <si>
    <t>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</si>
</sst>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&quot;$&quot;#,##0"/>
  </numFmts>
  <fonts count="9">
    <font>
      <sz val="10.0"/>
      <color rgb="FF000000"/>
      <name val="Arial"/>
    </font>
    <font>
      <b/>
      <color theme="1"/>
      <name val="Quicksand"/>
    </font>
    <font>
      <color theme="1"/>
      <name val="Quicksand"/>
    </font>
    <font>
      <b/>
      <color theme="1"/>
      <name val="&quot;Source Sans Pro&quot;"/>
    </font>
    <font>
      <b/>
      <color theme="1"/>
      <name val="Arial"/>
    </font>
    <font>
      <color theme="1"/>
      <name val="Arial"/>
    </font>
    <font>
      <color theme="1"/>
      <name val="&quot;Source Sans Pro&quot;"/>
    </font>
    <font>
      <u/>
      <color rgb="FF0000FF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0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center"/>
    </xf>
    <xf borderId="0" fillId="2" fontId="3" numFmtId="11" xfId="0" applyAlignment="1" applyFill="1" applyFont="1" applyNumberFormat="1">
      <alignment vertical="center"/>
    </xf>
    <xf borderId="0" fillId="0" fontId="3" numFmtId="11" xfId="0" applyAlignment="1" applyFont="1" applyNumberFormat="1">
      <alignment vertical="center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2" fontId="6" numFmtId="164" xfId="0" applyAlignment="1" applyFont="1" applyNumberFormat="1">
      <alignment horizontal="right" vertical="center"/>
    </xf>
    <xf borderId="2" fillId="0" fontId="4" numFmtId="0" xfId="0" applyAlignment="1" applyBorder="1" applyFont="1">
      <alignment readingOrder="0" vertical="center"/>
    </xf>
    <xf borderId="3" fillId="2" fontId="5" numFmtId="0" xfId="0" applyAlignment="1" applyBorder="1" applyFont="1">
      <alignment horizontal="center" readingOrder="0" vertical="center"/>
    </xf>
    <xf borderId="0" fillId="0" fontId="5" numFmtId="165" xfId="0" applyAlignment="1" applyFont="1" applyNumberFormat="1">
      <alignment vertical="center"/>
    </xf>
    <xf borderId="0" fillId="0" fontId="5" numFmtId="166" xfId="0" applyAlignment="1" applyFont="1" applyNumberFormat="1">
      <alignment vertical="center"/>
    </xf>
    <xf borderId="0" fillId="0" fontId="6" numFmtId="0" xfId="0" applyAlignment="1" applyFont="1">
      <alignment vertical="center"/>
    </xf>
    <xf borderId="4" fillId="0" fontId="3" numFmtId="11" xfId="0" applyAlignment="1" applyBorder="1" applyFont="1" applyNumberFormat="1">
      <alignment vertical="center"/>
    </xf>
    <xf borderId="5" fillId="2" fontId="5" numFmtId="165" xfId="0" applyAlignment="1" applyBorder="1" applyFont="1" applyNumberFormat="1">
      <alignment horizontal="right" readingOrder="0" vertical="center"/>
    </xf>
    <xf borderId="6" fillId="0" fontId="3" numFmtId="11" xfId="0" applyAlignment="1" applyBorder="1" applyFont="1" applyNumberFormat="1">
      <alignment vertical="center"/>
    </xf>
    <xf borderId="7" fillId="2" fontId="5" numFmtId="14" xfId="0" applyAlignment="1" applyBorder="1" applyFont="1" applyNumberFormat="1">
      <alignment horizontal="right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2" xfId="0" applyAlignment="1" applyFont="1" applyNumberFormat="1">
      <alignment vertical="center"/>
    </xf>
    <xf borderId="0" fillId="0" fontId="5" numFmtId="3" xfId="0" applyAlignment="1" applyFont="1" applyNumberFormat="1">
      <alignment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2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2" fontId="5" numFmtId="0" xfId="0" applyAlignment="1" applyFont="1">
      <alignment readingOrder="0" vertical="center"/>
    </xf>
    <xf borderId="0" fillId="2" fontId="4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4" xfId="0" applyAlignment="1" applyFont="1" applyNumberFormat="1">
      <alignment readingOrder="0" vertical="center"/>
    </xf>
    <xf borderId="0" fillId="0" fontId="5" numFmtId="0" xfId="0" applyAlignment="1" applyFont="1">
      <alignment vertical="center"/>
    </xf>
    <xf borderId="0" fillId="0" fontId="5" numFmtId="4" xfId="0" applyAlignment="1" applyFont="1" applyNumberForma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Font="1"/>
    <xf borderId="0" fillId="2" fontId="5" numFmtId="0" xfId="0" applyAlignment="1" applyFont="1">
      <alignment vertical="center"/>
    </xf>
    <xf borderId="0" fillId="2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2" fontId="4" numFmtId="0" xfId="0" applyAlignment="1" applyFont="1">
      <alignment readingOrder="0" vertical="center"/>
    </xf>
    <xf borderId="8" fillId="0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GOOGLEFINANCE!$I$1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GOOGLEFINANCE!$H$2:$H$1143</c:f>
            </c:strRef>
          </c:cat>
          <c:val>
            <c:numRef>
              <c:f>GOOGLEFINANCE!$I$2:$I$1143</c:f>
              <c:numCache/>
            </c:numRef>
          </c:val>
          <c:smooth val="0"/>
        </c:ser>
        <c:axId val="925333499"/>
        <c:axId val="819331458"/>
      </c:lineChart>
      <c:catAx>
        <c:axId val="925333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331458"/>
      </c:catAx>
      <c:valAx>
        <c:axId val="819331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333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95250</xdr:rowOff>
    </xdr:from>
    <xdr:ext cx="6334125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viasales.ru" TargetMode="External"/><Relationship Id="rId2" Type="http://schemas.openxmlformats.org/officeDocument/2006/relationships/hyperlink" Target="http://mytoys.de" TargetMode="External"/><Relationship Id="rId3" Type="http://schemas.openxmlformats.org/officeDocument/2006/relationships/hyperlink" Target="http://thomann.io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bDSqwyxGg1KPa_rqkVENqXJa6JhTOz3qJ33Jrz2Wz0/edi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hbDSqwyxGg1KPa_rqkVENqXJa6JhTOz3qJ33Jrz2Wz0/edit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30.57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3" t="s">
        <v>4</v>
      </c>
      <c r="B3" s="3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  <row r="14">
      <c r="A14" s="2" t="s">
        <v>26</v>
      </c>
      <c r="B14" s="2" t="s">
        <v>27</v>
      </c>
    </row>
    <row r="15">
      <c r="A15" s="2" t="s">
        <v>28</v>
      </c>
      <c r="B15" s="2" t="s">
        <v>29</v>
      </c>
    </row>
    <row r="16">
      <c r="A16" s="2" t="s">
        <v>30</v>
      </c>
      <c r="B16" s="2" t="s">
        <v>31</v>
      </c>
    </row>
    <row r="17">
      <c r="A17" s="2" t="s">
        <v>32</v>
      </c>
      <c r="B17" s="2" t="s">
        <v>33</v>
      </c>
    </row>
    <row r="18">
      <c r="A18" s="2" t="s">
        <v>34</v>
      </c>
      <c r="B18" s="2" t="s">
        <v>35</v>
      </c>
    </row>
    <row r="19">
      <c r="A19" s="2" t="s">
        <v>36</v>
      </c>
      <c r="B19" s="2" t="s">
        <v>37</v>
      </c>
    </row>
    <row r="20">
      <c r="A20" s="2" t="s">
        <v>38</v>
      </c>
      <c r="B20" s="2" t="s">
        <v>39</v>
      </c>
    </row>
    <row r="21">
      <c r="A21" s="2" t="s">
        <v>40</v>
      </c>
      <c r="B21" s="2" t="s">
        <v>41</v>
      </c>
    </row>
    <row r="22">
      <c r="A22" s="2" t="s">
        <v>42</v>
      </c>
      <c r="B22" s="2" t="s">
        <v>43</v>
      </c>
    </row>
    <row r="23">
      <c r="A23" s="2" t="s">
        <v>44</v>
      </c>
      <c r="B23" s="2" t="s">
        <v>45</v>
      </c>
    </row>
    <row r="24">
      <c r="A24" s="2" t="s">
        <v>46</v>
      </c>
      <c r="B24" s="2" t="s">
        <v>47</v>
      </c>
    </row>
    <row r="25">
      <c r="A25" s="2" t="s">
        <v>48</v>
      </c>
      <c r="B25" s="2" t="s">
        <v>49</v>
      </c>
    </row>
    <row r="26">
      <c r="A26" s="2" t="s">
        <v>50</v>
      </c>
      <c r="B26" s="2" t="s">
        <v>51</v>
      </c>
    </row>
    <row r="27">
      <c r="A27" s="2" t="s">
        <v>52</v>
      </c>
      <c r="B27" s="2" t="s">
        <v>53</v>
      </c>
    </row>
    <row r="28">
      <c r="A28" s="2" t="s">
        <v>54</v>
      </c>
      <c r="B28" s="2" t="s">
        <v>55</v>
      </c>
    </row>
    <row r="29">
      <c r="A29" s="2" t="s">
        <v>56</v>
      </c>
      <c r="B29" s="2" t="s">
        <v>57</v>
      </c>
    </row>
    <row r="30">
      <c r="A30" s="2" t="s">
        <v>58</v>
      </c>
      <c r="B30" s="2" t="s">
        <v>59</v>
      </c>
    </row>
    <row r="31">
      <c r="A31" s="2" t="s">
        <v>60</v>
      </c>
      <c r="B31" s="2" t="s">
        <v>61</v>
      </c>
    </row>
    <row r="32">
      <c r="A32" s="2" t="s">
        <v>62</v>
      </c>
      <c r="B32" s="2" t="s">
        <v>63</v>
      </c>
    </row>
    <row r="33">
      <c r="A33" s="2" t="s">
        <v>64</v>
      </c>
      <c r="B33" s="2" t="s">
        <v>65</v>
      </c>
    </row>
    <row r="34">
      <c r="A34" s="2" t="s">
        <v>66</v>
      </c>
      <c r="B34" s="2" t="s">
        <v>67</v>
      </c>
    </row>
    <row r="35">
      <c r="A35" s="2" t="s">
        <v>68</v>
      </c>
      <c r="B35" s="2" t="s">
        <v>69</v>
      </c>
    </row>
    <row r="36">
      <c r="A36" s="2" t="s">
        <v>70</v>
      </c>
      <c r="B36" s="2" t="s">
        <v>71</v>
      </c>
    </row>
    <row r="37">
      <c r="A37" s="2" t="s">
        <v>72</v>
      </c>
      <c r="B37" s="2" t="s">
        <v>73</v>
      </c>
    </row>
    <row r="38">
      <c r="A38" s="2" t="s">
        <v>74</v>
      </c>
      <c r="B38" s="2" t="s">
        <v>75</v>
      </c>
    </row>
    <row r="39">
      <c r="A39" s="2" t="s">
        <v>76</v>
      </c>
      <c r="B39" s="2" t="s">
        <v>77</v>
      </c>
    </row>
    <row r="40">
      <c r="A40" s="2" t="s">
        <v>78</v>
      </c>
      <c r="B40" s="2" t="s">
        <v>79</v>
      </c>
    </row>
    <row r="41">
      <c r="A41" s="2" t="s">
        <v>80</v>
      </c>
      <c r="B41" s="2" t="s">
        <v>81</v>
      </c>
    </row>
    <row r="42">
      <c r="A42" s="2" t="s">
        <v>82</v>
      </c>
      <c r="B42" s="2" t="s">
        <v>83</v>
      </c>
    </row>
    <row r="43">
      <c r="A43" s="2" t="s">
        <v>84</v>
      </c>
      <c r="B43" s="2" t="s">
        <v>85</v>
      </c>
    </row>
    <row r="44">
      <c r="A44" s="2" t="s">
        <v>86</v>
      </c>
      <c r="B44" s="2" t="s">
        <v>87</v>
      </c>
    </row>
    <row r="45">
      <c r="A45" s="2" t="s">
        <v>88</v>
      </c>
      <c r="B45" s="2" t="s">
        <v>89</v>
      </c>
    </row>
    <row r="46">
      <c r="A46" s="2" t="s">
        <v>90</v>
      </c>
      <c r="B46" s="2" t="s">
        <v>91</v>
      </c>
    </row>
    <row r="47">
      <c r="A47" s="2" t="s">
        <v>92</v>
      </c>
      <c r="B47" s="2" t="s">
        <v>93</v>
      </c>
    </row>
    <row r="48">
      <c r="A48" s="2" t="s">
        <v>94</v>
      </c>
      <c r="B48" s="2" t="s">
        <v>95</v>
      </c>
    </row>
    <row r="49">
      <c r="A49" s="2" t="s">
        <v>96</v>
      </c>
      <c r="B49" s="2" t="s">
        <v>97</v>
      </c>
    </row>
    <row r="50">
      <c r="A50" s="2" t="s">
        <v>98</v>
      </c>
      <c r="B50" s="2" t="s">
        <v>99</v>
      </c>
    </row>
    <row r="51">
      <c r="A51" s="2" t="s">
        <v>100</v>
      </c>
      <c r="B51" s="2" t="s">
        <v>101</v>
      </c>
    </row>
    <row r="52">
      <c r="A52" s="2" t="s">
        <v>102</v>
      </c>
      <c r="B52" s="2" t="s">
        <v>103</v>
      </c>
    </row>
    <row r="53">
      <c r="A53" s="2" t="s">
        <v>104</v>
      </c>
      <c r="B53" s="2" t="s">
        <v>105</v>
      </c>
    </row>
    <row r="54">
      <c r="A54" s="2" t="s">
        <v>106</v>
      </c>
      <c r="B54" s="2" t="s">
        <v>107</v>
      </c>
    </row>
    <row r="55">
      <c r="A55" s="2" t="s">
        <v>108</v>
      </c>
      <c r="B55" s="2" t="s">
        <v>109</v>
      </c>
    </row>
    <row r="56">
      <c r="A56" s="2" t="s">
        <v>110</v>
      </c>
      <c r="B56" s="2" t="s">
        <v>111</v>
      </c>
    </row>
    <row r="57">
      <c r="A57" s="2" t="s">
        <v>112</v>
      </c>
      <c r="B57" s="2" t="s">
        <v>113</v>
      </c>
    </row>
    <row r="58">
      <c r="A58" s="2" t="s">
        <v>114</v>
      </c>
      <c r="B58" s="2" t="s">
        <v>115</v>
      </c>
    </row>
    <row r="59">
      <c r="A59" s="2" t="s">
        <v>116</v>
      </c>
      <c r="B59" s="2" t="s">
        <v>117</v>
      </c>
    </row>
    <row r="60">
      <c r="A60" s="2" t="s">
        <v>118</v>
      </c>
      <c r="B60" s="2" t="s">
        <v>119</v>
      </c>
    </row>
    <row r="61">
      <c r="A61" s="2" t="s">
        <v>120</v>
      </c>
      <c r="B61" s="2" t="s">
        <v>121</v>
      </c>
    </row>
    <row r="62">
      <c r="A62" s="2" t="s">
        <v>122</v>
      </c>
      <c r="B62" s="2" t="s">
        <v>123</v>
      </c>
    </row>
    <row r="63">
      <c r="A63" s="2" t="s">
        <v>124</v>
      </c>
      <c r="B63" s="2" t="s">
        <v>125</v>
      </c>
    </row>
    <row r="64">
      <c r="A64" s="2" t="s">
        <v>126</v>
      </c>
      <c r="B64" s="2" t="s">
        <v>127</v>
      </c>
    </row>
    <row r="65">
      <c r="A65" s="2" t="s">
        <v>128</v>
      </c>
      <c r="B65" s="2" t="s">
        <v>129</v>
      </c>
    </row>
    <row r="66">
      <c r="A66" s="2" t="s">
        <v>130</v>
      </c>
      <c r="B66" s="2" t="s">
        <v>131</v>
      </c>
    </row>
    <row r="67">
      <c r="A67" s="2" t="s">
        <v>132</v>
      </c>
      <c r="B67" s="2" t="s">
        <v>133</v>
      </c>
    </row>
    <row r="68">
      <c r="A68" s="2" t="s">
        <v>134</v>
      </c>
      <c r="B68" s="2" t="s">
        <v>135</v>
      </c>
    </row>
    <row r="69">
      <c r="A69" s="2" t="s">
        <v>136</v>
      </c>
      <c r="B69" s="2" t="s">
        <v>137</v>
      </c>
    </row>
    <row r="70">
      <c r="A70" s="2" t="s">
        <v>138</v>
      </c>
      <c r="B70" s="2" t="s">
        <v>139</v>
      </c>
    </row>
    <row r="71">
      <c r="A71" s="2" t="s">
        <v>140</v>
      </c>
      <c r="B71" s="2" t="s">
        <v>141</v>
      </c>
    </row>
    <row r="72">
      <c r="A72" s="2" t="s">
        <v>142</v>
      </c>
      <c r="B72" s="2" t="s">
        <v>143</v>
      </c>
    </row>
    <row r="73">
      <c r="A73" s="2" t="s">
        <v>144</v>
      </c>
      <c r="B73" s="2" t="s">
        <v>145</v>
      </c>
    </row>
    <row r="74">
      <c r="A74" s="2" t="s">
        <v>146</v>
      </c>
      <c r="B74" s="2" t="s">
        <v>147</v>
      </c>
    </row>
    <row r="75">
      <c r="A75" s="2" t="s">
        <v>148</v>
      </c>
      <c r="B75" s="2" t="s">
        <v>149</v>
      </c>
    </row>
    <row r="76">
      <c r="A76" s="2" t="s">
        <v>150</v>
      </c>
      <c r="B76" s="2" t="s">
        <v>151</v>
      </c>
    </row>
    <row r="77">
      <c r="A77" s="2" t="s">
        <v>152</v>
      </c>
      <c r="B77" s="2" t="s">
        <v>153</v>
      </c>
    </row>
    <row r="78">
      <c r="A78" s="2" t="s">
        <v>154</v>
      </c>
      <c r="B78" s="2" t="s">
        <v>155</v>
      </c>
    </row>
    <row r="79">
      <c r="A79" s="2" t="s">
        <v>156</v>
      </c>
      <c r="B79" s="2" t="s">
        <v>157</v>
      </c>
    </row>
    <row r="80">
      <c r="A80" s="2" t="s">
        <v>158</v>
      </c>
      <c r="B80" s="2" t="s">
        <v>159</v>
      </c>
    </row>
    <row r="81">
      <c r="A81" s="2" t="s">
        <v>160</v>
      </c>
      <c r="B81" s="2" t="s">
        <v>161</v>
      </c>
    </row>
    <row r="82">
      <c r="A82" s="2" t="s">
        <v>162</v>
      </c>
      <c r="B82" s="2" t="s">
        <v>163</v>
      </c>
    </row>
    <row r="83">
      <c r="A83" s="2" t="s">
        <v>164</v>
      </c>
      <c r="B83" s="2" t="s">
        <v>165</v>
      </c>
    </row>
    <row r="84">
      <c r="A84" s="2" t="s">
        <v>166</v>
      </c>
      <c r="B84" s="2" t="s">
        <v>167</v>
      </c>
    </row>
    <row r="85">
      <c r="A85" s="2" t="s">
        <v>168</v>
      </c>
      <c r="B85" s="2" t="s">
        <v>169</v>
      </c>
    </row>
    <row r="86">
      <c r="A86" s="2" t="s">
        <v>170</v>
      </c>
      <c r="B86" s="2" t="s">
        <v>171</v>
      </c>
    </row>
    <row r="87">
      <c r="A87" s="2" t="s">
        <v>172</v>
      </c>
      <c r="B87" s="2" t="s">
        <v>173</v>
      </c>
    </row>
    <row r="88">
      <c r="A88" s="2" t="s">
        <v>174</v>
      </c>
      <c r="B88" s="2" t="s">
        <v>175</v>
      </c>
    </row>
    <row r="89">
      <c r="A89" s="2" t="s">
        <v>176</v>
      </c>
      <c r="B89" s="2" t="s">
        <v>177</v>
      </c>
    </row>
    <row r="90">
      <c r="A90" s="2" t="s">
        <v>178</v>
      </c>
      <c r="B90" s="2" t="s">
        <v>179</v>
      </c>
    </row>
    <row r="91">
      <c r="A91" s="2" t="s">
        <v>180</v>
      </c>
      <c r="B91" s="2" t="s">
        <v>181</v>
      </c>
    </row>
    <row r="92">
      <c r="A92" s="2" t="s">
        <v>182</v>
      </c>
      <c r="B92" s="2" t="s">
        <v>183</v>
      </c>
    </row>
    <row r="93">
      <c r="A93" s="2" t="s">
        <v>184</v>
      </c>
      <c r="B93" s="2" t="s">
        <v>185</v>
      </c>
    </row>
    <row r="94">
      <c r="A94" s="2" t="s">
        <v>186</v>
      </c>
      <c r="B94" s="2" t="s">
        <v>187</v>
      </c>
    </row>
    <row r="95">
      <c r="A95" s="2" t="s">
        <v>188</v>
      </c>
      <c r="B95" s="2" t="s">
        <v>189</v>
      </c>
    </row>
    <row r="96">
      <c r="A96" s="2" t="s">
        <v>190</v>
      </c>
      <c r="B96" s="2" t="s">
        <v>191</v>
      </c>
    </row>
    <row r="97">
      <c r="A97" s="2" t="s">
        <v>192</v>
      </c>
      <c r="B97" s="2" t="s">
        <v>193</v>
      </c>
    </row>
    <row r="98">
      <c r="A98" s="2" t="s">
        <v>194</v>
      </c>
      <c r="B98" s="2" t="s">
        <v>195</v>
      </c>
    </row>
    <row r="99">
      <c r="A99" s="2" t="s">
        <v>196</v>
      </c>
      <c r="B99" s="2" t="s">
        <v>197</v>
      </c>
    </row>
    <row r="100">
      <c r="A100" s="2" t="s">
        <v>198</v>
      </c>
      <c r="B100" s="2" t="s">
        <v>199</v>
      </c>
    </row>
    <row r="101">
      <c r="A101" s="2" t="s">
        <v>200</v>
      </c>
      <c r="B101" s="2" t="s">
        <v>201</v>
      </c>
    </row>
    <row r="102">
      <c r="A102" s="2" t="s">
        <v>202</v>
      </c>
      <c r="B102" s="2" t="s">
        <v>203</v>
      </c>
    </row>
    <row r="103">
      <c r="A103" s="2" t="s">
        <v>204</v>
      </c>
      <c r="B103" s="2" t="s">
        <v>205</v>
      </c>
    </row>
    <row r="104">
      <c r="A104" s="2" t="s">
        <v>206</v>
      </c>
      <c r="B104" s="2" t="s">
        <v>207</v>
      </c>
    </row>
    <row r="105">
      <c r="A105" s="2" t="s">
        <v>208</v>
      </c>
      <c r="B105" s="2" t="s">
        <v>209</v>
      </c>
    </row>
    <row r="106">
      <c r="A106" s="4"/>
      <c r="B10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20.14"/>
    <col customWidth="1" min="3" max="3" width="11.57"/>
    <col customWidth="1" min="4" max="4" width="4.43"/>
    <col customWidth="1" min="5" max="5" width="24.86"/>
    <col customWidth="1" min="6" max="6" width="23.14"/>
    <col customWidth="1" min="7" max="7" width="4.43"/>
    <col customWidth="1" min="8" max="9" width="11.57"/>
  </cols>
  <sheetData>
    <row r="1">
      <c r="A1" s="5" t="s">
        <v>210</v>
      </c>
      <c r="B1" s="6" t="s">
        <v>211</v>
      </c>
      <c r="C1" s="5" t="s">
        <v>212</v>
      </c>
      <c r="D1" s="7"/>
      <c r="G1" s="7"/>
      <c r="H1" s="8" t="str">
        <f>IFERROR(__xludf.DUMMYFUNCTION("GOOGLEFINANCE($F$2, ""price"", $F$4, $F$5, $F$7)"),"Date")</f>
        <v>Date</v>
      </c>
      <c r="I1" s="9" t="str">
        <f>IFERROR(__xludf.DUMMYFUNCTION("""COMPUTED_VALUE"""),"Close")</f>
        <v>Close</v>
      </c>
      <c r="J1" s="7"/>
    </row>
    <row r="2">
      <c r="A2" s="10" t="s">
        <v>213</v>
      </c>
      <c r="B2" s="11" t="s">
        <v>214</v>
      </c>
      <c r="C2" s="12">
        <f>IFERROR(__xludf.DUMMYFUNCTION("GOOGLEFINANCE($B2)"),3573.63)</f>
        <v>3573.63</v>
      </c>
      <c r="D2" s="7"/>
      <c r="E2" s="13" t="s">
        <v>211</v>
      </c>
      <c r="F2" s="14" t="s">
        <v>215</v>
      </c>
      <c r="G2" s="7"/>
      <c r="H2" s="15">
        <f>IFERROR(__xludf.DUMMYFUNCTION("""COMPUTED_VALUE"""),42738.66666666667)</f>
        <v>42738.66667</v>
      </c>
      <c r="I2" s="16">
        <f>IFERROR(__xludf.DUMMYFUNCTION("""COMPUTED_VALUE"""),43.4)</f>
        <v>43.4</v>
      </c>
      <c r="J2" s="7"/>
    </row>
    <row r="3">
      <c r="A3" s="10" t="s">
        <v>216</v>
      </c>
      <c r="B3" s="11" t="s">
        <v>217</v>
      </c>
      <c r="C3" s="12">
        <f>IFERROR(__xludf.DUMMYFUNCTION("GOOGLEFINANCE($B3)"),146.39)</f>
        <v>146.39</v>
      </c>
      <c r="D3" s="7"/>
      <c r="E3" s="7"/>
      <c r="F3" s="7"/>
      <c r="G3" s="7"/>
      <c r="H3" s="15">
        <f>IFERROR(__xludf.DUMMYFUNCTION("""COMPUTED_VALUE"""),42739.66666666667)</f>
        <v>42739.66667</v>
      </c>
      <c r="I3" s="16">
        <f>IFERROR(__xludf.DUMMYFUNCTION("""COMPUTED_VALUE"""),45.4)</f>
        <v>45.4</v>
      </c>
      <c r="J3" s="7"/>
    </row>
    <row r="4">
      <c r="A4" s="17" t="s">
        <v>218</v>
      </c>
      <c r="B4" s="11" t="s">
        <v>219</v>
      </c>
      <c r="C4" s="12">
        <f>IFERROR(__xludf.DUMMYFUNCTION("GOOGLEFINANCE($B4)"),341.16)</f>
        <v>341.16</v>
      </c>
      <c r="D4" s="7"/>
      <c r="E4" s="18" t="s">
        <v>220</v>
      </c>
      <c r="F4" s="19">
        <v>42736.0</v>
      </c>
      <c r="G4" s="7"/>
      <c r="H4" s="15">
        <f>IFERROR(__xludf.DUMMYFUNCTION("""COMPUTED_VALUE"""),42740.66666666667)</f>
        <v>42740.66667</v>
      </c>
      <c r="I4" s="16">
        <f>IFERROR(__xludf.DUMMYFUNCTION("""COMPUTED_VALUE"""),45.35)</f>
        <v>45.35</v>
      </c>
      <c r="J4" s="7"/>
    </row>
    <row r="5">
      <c r="A5" s="17" t="s">
        <v>221</v>
      </c>
      <c r="B5" s="11" t="s">
        <v>222</v>
      </c>
      <c r="C5" s="12">
        <f>IFERROR(__xludf.DUMMYFUNCTION("GOOGLEFINANCE($B5)"),2636.91)</f>
        <v>2636.91</v>
      </c>
      <c r="D5" s="7"/>
      <c r="E5" s="20" t="s">
        <v>223</v>
      </c>
      <c r="F5" s="21">
        <f>TODAY()</f>
        <v>44395</v>
      </c>
      <c r="G5" s="7"/>
      <c r="H5" s="15">
        <f>IFERROR(__xludf.DUMMYFUNCTION("""COMPUTED_VALUE"""),42741.66666666667)</f>
        <v>42741.66667</v>
      </c>
      <c r="I5" s="16">
        <f>IFERROR(__xludf.DUMMYFUNCTION("""COMPUTED_VALUE"""),45.8)</f>
        <v>45.8</v>
      </c>
      <c r="J5" s="7"/>
    </row>
    <row r="6">
      <c r="A6" s="17" t="s">
        <v>224</v>
      </c>
      <c r="B6" s="11" t="s">
        <v>215</v>
      </c>
      <c r="C6" s="12">
        <f>IFERROR(__xludf.DUMMYFUNCTION("GOOGLEFINANCE($B6)"),644.22)</f>
        <v>644.22</v>
      </c>
      <c r="D6" s="7"/>
      <c r="E6" s="7"/>
      <c r="F6" s="7"/>
      <c r="G6" s="7"/>
      <c r="H6" s="15">
        <f>IFERROR(__xludf.DUMMYFUNCTION("""COMPUTED_VALUE"""),42744.66666666667)</f>
        <v>42744.66667</v>
      </c>
      <c r="I6" s="16">
        <f>IFERROR(__xludf.DUMMYFUNCTION("""COMPUTED_VALUE"""),46.26)</f>
        <v>46.26</v>
      </c>
      <c r="J6" s="7"/>
    </row>
    <row r="7">
      <c r="A7" s="17" t="s">
        <v>225</v>
      </c>
      <c r="B7" s="11" t="s">
        <v>226</v>
      </c>
      <c r="C7" s="12">
        <f>IFERROR(__xludf.DUMMYFUNCTION("GOOGLEFINANCE($B7)"),66.41)</f>
        <v>66.41</v>
      </c>
      <c r="D7" s="7"/>
      <c r="E7" s="13" t="s">
        <v>227</v>
      </c>
      <c r="F7" s="14" t="s">
        <v>228</v>
      </c>
      <c r="G7" s="7"/>
      <c r="H7" s="15">
        <f>IFERROR(__xludf.DUMMYFUNCTION("""COMPUTED_VALUE"""),42745.66666666667)</f>
        <v>42745.66667</v>
      </c>
      <c r="I7" s="16">
        <f>IFERROR(__xludf.DUMMYFUNCTION("""COMPUTED_VALUE"""),45.97)</f>
        <v>45.97</v>
      </c>
      <c r="J7" s="7"/>
    </row>
    <row r="8">
      <c r="A8" s="10" t="s">
        <v>229</v>
      </c>
      <c r="B8" s="22" t="s">
        <v>230</v>
      </c>
      <c r="C8" s="12">
        <f>IFERROR(__xludf.DUMMYFUNCTION("GOOGLEFINANCE($B8)"),31719.2)</f>
        <v>31719.2</v>
      </c>
      <c r="D8" s="7"/>
      <c r="E8" s="7"/>
      <c r="F8" s="7"/>
      <c r="G8" s="7"/>
      <c r="H8" s="15">
        <f>IFERROR(__xludf.DUMMYFUNCTION("""COMPUTED_VALUE"""),42746.66666666667)</f>
        <v>42746.66667</v>
      </c>
      <c r="I8" s="16">
        <f>IFERROR(__xludf.DUMMYFUNCTION("""COMPUTED_VALUE"""),45.95)</f>
        <v>45.95</v>
      </c>
      <c r="J8" s="7"/>
    </row>
    <row r="9">
      <c r="A9" s="10" t="s">
        <v>231</v>
      </c>
      <c r="B9" s="22" t="s">
        <v>232</v>
      </c>
      <c r="C9" s="12">
        <f>IFERROR(__xludf.DUMMYFUNCTION("GOOGLEFINANCE($B9)"),1952.02)</f>
        <v>1952.02</v>
      </c>
      <c r="D9" s="7"/>
      <c r="E9" s="7"/>
      <c r="F9" s="7"/>
      <c r="G9" s="7"/>
      <c r="H9" s="15">
        <f>IFERROR(__xludf.DUMMYFUNCTION("""COMPUTED_VALUE"""),42747.66666666667)</f>
        <v>42747.66667</v>
      </c>
      <c r="I9" s="16">
        <f>IFERROR(__xludf.DUMMYFUNCTION("""COMPUTED_VALUE"""),45.92)</f>
        <v>45.92</v>
      </c>
      <c r="J9" s="7"/>
    </row>
    <row r="10">
      <c r="A10" s="10" t="s">
        <v>233</v>
      </c>
      <c r="B10" s="22" t="s">
        <v>234</v>
      </c>
      <c r="C10" s="12">
        <f>IFERROR(__xludf.DUMMYFUNCTION("GOOGLEFINANCE($B10)"),120.43)</f>
        <v>120.43</v>
      </c>
      <c r="D10" s="7"/>
      <c r="E10" s="7"/>
      <c r="F10" s="7"/>
      <c r="G10" s="7"/>
      <c r="H10" s="15">
        <f>IFERROR(__xludf.DUMMYFUNCTION("""COMPUTED_VALUE"""),42748.66666666667)</f>
        <v>42748.66667</v>
      </c>
      <c r="I10" s="16">
        <f>IFERROR(__xludf.DUMMYFUNCTION("""COMPUTED_VALUE"""),47.55)</f>
        <v>47.55</v>
      </c>
      <c r="J10" s="7"/>
    </row>
    <row r="11">
      <c r="A11" s="10" t="s">
        <v>235</v>
      </c>
      <c r="B11" s="22" t="s">
        <v>236</v>
      </c>
      <c r="C11" s="12">
        <f>IFERROR(__xludf.DUMMYFUNCTION("GOOGLEFINANCE($B11)"),0.11731989999999999)</f>
        <v>0.1173199</v>
      </c>
      <c r="D11" s="7"/>
      <c r="E11" s="7"/>
      <c r="F11" s="7"/>
      <c r="G11" s="7"/>
      <c r="H11" s="15">
        <f>IFERROR(__xludf.DUMMYFUNCTION("""COMPUTED_VALUE"""),42752.66666666667)</f>
        <v>42752.66667</v>
      </c>
      <c r="I11" s="16">
        <f>IFERROR(__xludf.DUMMYFUNCTION("""COMPUTED_VALUE"""),47.12)</f>
        <v>47.12</v>
      </c>
      <c r="J11" s="7"/>
    </row>
    <row r="12">
      <c r="A12" s="7"/>
      <c r="B12" s="7"/>
      <c r="C12" s="7"/>
      <c r="D12" s="7"/>
      <c r="E12" s="7"/>
      <c r="F12" s="7"/>
      <c r="G12" s="7"/>
      <c r="H12" s="15">
        <f>IFERROR(__xludf.DUMMYFUNCTION("""COMPUTED_VALUE"""),42753.66666666667)</f>
        <v>42753.66667</v>
      </c>
      <c r="I12" s="16">
        <f>IFERROR(__xludf.DUMMYFUNCTION("""COMPUTED_VALUE"""),47.67)</f>
        <v>47.67</v>
      </c>
      <c r="J12" s="7"/>
    </row>
    <row r="13">
      <c r="A13" s="7"/>
      <c r="B13" s="7"/>
      <c r="C13" s="7"/>
      <c r="D13" s="7"/>
      <c r="E13" s="7"/>
      <c r="F13" s="23"/>
      <c r="G13" s="7"/>
      <c r="H13" s="23">
        <f>IFERROR(__xludf.DUMMYFUNCTION("""COMPUTED_VALUE"""),42754.66666666667)</f>
        <v>42754.66667</v>
      </c>
      <c r="I13" s="24">
        <f>IFERROR(__xludf.DUMMYFUNCTION("""COMPUTED_VALUE"""),48.75)</f>
        <v>48.75</v>
      </c>
      <c r="J13" s="7"/>
    </row>
    <row r="14">
      <c r="A14" s="7"/>
      <c r="B14" s="7"/>
      <c r="C14" s="7"/>
      <c r="D14" s="7"/>
      <c r="E14" s="7"/>
      <c r="F14" s="23"/>
      <c r="G14" s="7"/>
      <c r="H14" s="15">
        <f>IFERROR(__xludf.DUMMYFUNCTION("""COMPUTED_VALUE"""),42755.66666666667)</f>
        <v>42755.66667</v>
      </c>
      <c r="I14" s="16">
        <f>IFERROR(__xludf.DUMMYFUNCTION("""COMPUTED_VALUE"""),48.95)</f>
        <v>48.95</v>
      </c>
      <c r="J14" s="7"/>
    </row>
    <row r="15">
      <c r="A15" s="7"/>
      <c r="B15" s="7"/>
      <c r="C15" s="7"/>
      <c r="D15" s="7"/>
      <c r="E15" s="7"/>
      <c r="F15" s="23"/>
      <c r="G15" s="7"/>
      <c r="H15" s="15">
        <f>IFERROR(__xludf.DUMMYFUNCTION("""COMPUTED_VALUE"""),42758.66666666667)</f>
        <v>42758.66667</v>
      </c>
      <c r="I15" s="16">
        <f>IFERROR(__xludf.DUMMYFUNCTION("""COMPUTED_VALUE"""),49.78)</f>
        <v>49.78</v>
      </c>
      <c r="J15" s="7"/>
    </row>
    <row r="16">
      <c r="A16" s="7"/>
      <c r="B16" s="7"/>
      <c r="C16" s="7"/>
      <c r="D16" s="7"/>
      <c r="E16" s="7"/>
      <c r="F16" s="23"/>
      <c r="G16" s="7"/>
      <c r="H16" s="15">
        <f>IFERROR(__xludf.DUMMYFUNCTION("""COMPUTED_VALUE"""),42759.66666666667)</f>
        <v>42759.66667</v>
      </c>
      <c r="I16" s="16">
        <f>IFERROR(__xludf.DUMMYFUNCTION("""COMPUTED_VALUE"""),50.92)</f>
        <v>50.92</v>
      </c>
      <c r="J16" s="7"/>
    </row>
    <row r="17">
      <c r="A17" s="7"/>
      <c r="B17" s="7"/>
      <c r="C17" s="7"/>
      <c r="D17" s="7"/>
      <c r="E17" s="7"/>
      <c r="F17" s="23"/>
      <c r="G17" s="7"/>
      <c r="H17" s="15">
        <f>IFERROR(__xludf.DUMMYFUNCTION("""COMPUTED_VALUE"""),42760.66666666667)</f>
        <v>42760.66667</v>
      </c>
      <c r="I17" s="16">
        <f>IFERROR(__xludf.DUMMYFUNCTION("""COMPUTED_VALUE"""),50.89)</f>
        <v>50.89</v>
      </c>
      <c r="J17" s="7"/>
    </row>
    <row r="18">
      <c r="A18" s="7"/>
      <c r="B18" s="7"/>
      <c r="C18" s="7"/>
      <c r="D18" s="7"/>
      <c r="E18" s="7"/>
      <c r="F18" s="23"/>
      <c r="G18" s="7"/>
      <c r="H18" s="15">
        <f>IFERROR(__xludf.DUMMYFUNCTION("""COMPUTED_VALUE"""),42761.66666666667)</f>
        <v>42761.66667</v>
      </c>
      <c r="I18" s="16">
        <f>IFERROR(__xludf.DUMMYFUNCTION("""COMPUTED_VALUE"""),50.5)</f>
        <v>50.5</v>
      </c>
      <c r="J18" s="7"/>
    </row>
    <row r="19">
      <c r="A19" s="7"/>
      <c r="B19" s="7"/>
      <c r="C19" s="7"/>
      <c r="D19" s="7"/>
      <c r="E19" s="7"/>
      <c r="F19" s="23"/>
      <c r="G19" s="7"/>
      <c r="H19" s="15">
        <f>IFERROR(__xludf.DUMMYFUNCTION("""COMPUTED_VALUE"""),42762.66666666667)</f>
        <v>42762.66667</v>
      </c>
      <c r="I19" s="16">
        <f>IFERROR(__xludf.DUMMYFUNCTION("""COMPUTED_VALUE"""),50.59)</f>
        <v>50.59</v>
      </c>
      <c r="J19" s="7"/>
    </row>
    <row r="20">
      <c r="A20" s="7"/>
      <c r="B20" s="7"/>
      <c r="C20" s="7"/>
      <c r="D20" s="7"/>
      <c r="E20" s="7"/>
      <c r="F20" s="23"/>
      <c r="G20" s="7"/>
      <c r="H20" s="15">
        <f>IFERROR(__xludf.DUMMYFUNCTION("""COMPUTED_VALUE"""),42765.66666666667)</f>
        <v>42765.66667</v>
      </c>
      <c r="I20" s="16">
        <f>IFERROR(__xludf.DUMMYFUNCTION("""COMPUTED_VALUE"""),50.13)</f>
        <v>50.13</v>
      </c>
      <c r="J20" s="7"/>
    </row>
    <row r="21">
      <c r="A21" s="7"/>
      <c r="B21" s="7"/>
      <c r="C21" s="7"/>
      <c r="D21" s="7"/>
      <c r="E21" s="7"/>
      <c r="F21" s="23"/>
      <c r="G21" s="7"/>
      <c r="H21" s="15">
        <f>IFERROR(__xludf.DUMMYFUNCTION("""COMPUTED_VALUE"""),42766.66666666667)</f>
        <v>42766.66667</v>
      </c>
      <c r="I21" s="16">
        <f>IFERROR(__xludf.DUMMYFUNCTION("""COMPUTED_VALUE"""),50.39)</f>
        <v>50.39</v>
      </c>
      <c r="J21" s="7"/>
    </row>
    <row r="22">
      <c r="A22" s="7"/>
      <c r="B22" s="7"/>
      <c r="C22" s="7"/>
      <c r="D22" s="7"/>
      <c r="E22" s="7"/>
      <c r="F22" s="23"/>
      <c r="G22" s="7"/>
      <c r="H22" s="15">
        <f>IFERROR(__xludf.DUMMYFUNCTION("""COMPUTED_VALUE"""),42767.66666666667)</f>
        <v>42767.66667</v>
      </c>
      <c r="I22" s="16">
        <f>IFERROR(__xludf.DUMMYFUNCTION("""COMPUTED_VALUE"""),49.85)</f>
        <v>49.85</v>
      </c>
      <c r="J22" s="7"/>
    </row>
    <row r="23">
      <c r="A23" s="7"/>
      <c r="B23" s="7"/>
      <c r="C23" s="7"/>
      <c r="D23" s="7"/>
      <c r="E23" s="7"/>
      <c r="F23" s="23"/>
      <c r="G23" s="7"/>
      <c r="H23" s="15">
        <f>IFERROR(__xludf.DUMMYFUNCTION("""COMPUTED_VALUE"""),42768.66666666667)</f>
        <v>42768.66667</v>
      </c>
      <c r="I23" s="16">
        <f>IFERROR(__xludf.DUMMYFUNCTION("""COMPUTED_VALUE"""),50.31)</f>
        <v>50.31</v>
      </c>
      <c r="J23" s="7"/>
    </row>
    <row r="24">
      <c r="A24" s="7"/>
      <c r="B24" s="7"/>
      <c r="C24" s="7"/>
      <c r="D24" s="7"/>
      <c r="E24" s="7"/>
      <c r="F24" s="23"/>
      <c r="G24" s="7"/>
      <c r="H24" s="15">
        <f>IFERROR(__xludf.DUMMYFUNCTION("""COMPUTED_VALUE"""),42769.66666666667)</f>
        <v>42769.66667</v>
      </c>
      <c r="I24" s="16">
        <f>IFERROR(__xludf.DUMMYFUNCTION("""COMPUTED_VALUE"""),50.27)</f>
        <v>50.27</v>
      </c>
      <c r="J24" s="7"/>
    </row>
    <row r="25">
      <c r="A25" s="7"/>
      <c r="B25" s="7"/>
      <c r="C25" s="7"/>
      <c r="D25" s="7"/>
      <c r="E25" s="7"/>
      <c r="F25" s="23"/>
      <c r="G25" s="7"/>
      <c r="H25" s="15">
        <f>IFERROR(__xludf.DUMMYFUNCTION("""COMPUTED_VALUE"""),42772.66666666667)</f>
        <v>42772.66667</v>
      </c>
      <c r="I25" s="16">
        <f>IFERROR(__xludf.DUMMYFUNCTION("""COMPUTED_VALUE"""),51.55)</f>
        <v>51.55</v>
      </c>
      <c r="J25" s="7"/>
    </row>
    <row r="26">
      <c r="A26" s="7"/>
      <c r="B26" s="7"/>
      <c r="C26" s="7"/>
      <c r="D26" s="7"/>
      <c r="E26" s="7"/>
      <c r="F26" s="23"/>
      <c r="G26" s="7"/>
      <c r="H26" s="15">
        <f>IFERROR(__xludf.DUMMYFUNCTION("""COMPUTED_VALUE"""),42773.66666666667)</f>
        <v>42773.66667</v>
      </c>
      <c r="I26" s="16">
        <f>IFERROR(__xludf.DUMMYFUNCTION("""COMPUTED_VALUE"""),51.5)</f>
        <v>51.5</v>
      </c>
      <c r="J26" s="7"/>
    </row>
    <row r="27">
      <c r="A27" s="7"/>
      <c r="B27" s="7"/>
      <c r="C27" s="7"/>
      <c r="D27" s="7"/>
      <c r="E27" s="7"/>
      <c r="F27" s="23"/>
      <c r="G27" s="7"/>
      <c r="H27" s="15">
        <f>IFERROR(__xludf.DUMMYFUNCTION("""COMPUTED_VALUE"""),42774.66666666667)</f>
        <v>42774.66667</v>
      </c>
      <c r="I27" s="16">
        <f>IFERROR(__xludf.DUMMYFUNCTION("""COMPUTED_VALUE"""),52.42)</f>
        <v>52.42</v>
      </c>
      <c r="J27" s="7"/>
    </row>
    <row r="28">
      <c r="A28" s="7"/>
      <c r="B28" s="7"/>
      <c r="C28" s="7"/>
      <c r="D28" s="7"/>
      <c r="E28" s="7"/>
      <c r="F28" s="23"/>
      <c r="G28" s="7"/>
      <c r="H28" s="15">
        <f>IFERROR(__xludf.DUMMYFUNCTION("""COMPUTED_VALUE"""),42775.66666666667)</f>
        <v>42775.66667</v>
      </c>
      <c r="I28" s="16">
        <f>IFERROR(__xludf.DUMMYFUNCTION("""COMPUTED_VALUE"""),53.84)</f>
        <v>53.84</v>
      </c>
      <c r="J28" s="7"/>
    </row>
    <row r="29">
      <c r="A29" s="7"/>
      <c r="B29" s="7"/>
      <c r="C29" s="7"/>
      <c r="D29" s="7"/>
      <c r="E29" s="7"/>
      <c r="F29" s="23"/>
      <c r="G29" s="7"/>
      <c r="H29" s="15">
        <f>IFERROR(__xludf.DUMMYFUNCTION("""COMPUTED_VALUE"""),42776.66666666667)</f>
        <v>42776.66667</v>
      </c>
      <c r="I29" s="16">
        <f>IFERROR(__xludf.DUMMYFUNCTION("""COMPUTED_VALUE"""),53.85)</f>
        <v>53.85</v>
      </c>
      <c r="J29" s="7"/>
    </row>
    <row r="30">
      <c r="A30" s="7"/>
      <c r="B30" s="7"/>
      <c r="C30" s="7"/>
      <c r="D30" s="7"/>
      <c r="E30" s="7"/>
      <c r="F30" s="23"/>
      <c r="G30" s="7"/>
      <c r="H30" s="15">
        <f>IFERROR(__xludf.DUMMYFUNCTION("""COMPUTED_VALUE"""),42779.66666666667)</f>
        <v>42779.66667</v>
      </c>
      <c r="I30" s="16">
        <f>IFERROR(__xludf.DUMMYFUNCTION("""COMPUTED_VALUE"""),56.12)</f>
        <v>56.12</v>
      </c>
      <c r="J30" s="7"/>
    </row>
    <row r="31">
      <c r="A31" s="7"/>
      <c r="B31" s="7"/>
      <c r="C31" s="7"/>
      <c r="D31" s="7"/>
      <c r="E31" s="7"/>
      <c r="F31" s="23"/>
      <c r="G31" s="7"/>
      <c r="H31" s="15">
        <f>IFERROR(__xludf.DUMMYFUNCTION("""COMPUTED_VALUE"""),42780.66666666667)</f>
        <v>42780.66667</v>
      </c>
      <c r="I31" s="16">
        <f>IFERROR(__xludf.DUMMYFUNCTION("""COMPUTED_VALUE"""),56.2)</f>
        <v>56.2</v>
      </c>
      <c r="J31" s="7"/>
    </row>
    <row r="32">
      <c r="A32" s="7"/>
      <c r="B32" s="7"/>
      <c r="C32" s="7"/>
      <c r="D32" s="7"/>
      <c r="E32" s="7"/>
      <c r="F32" s="23"/>
      <c r="G32" s="7"/>
      <c r="H32" s="15">
        <f>IFERROR(__xludf.DUMMYFUNCTION("""COMPUTED_VALUE"""),42781.66666666667)</f>
        <v>42781.66667</v>
      </c>
      <c r="I32" s="16">
        <f>IFERROR(__xludf.DUMMYFUNCTION("""COMPUTED_VALUE"""),55.95)</f>
        <v>55.95</v>
      </c>
      <c r="J32" s="7"/>
    </row>
    <row r="33">
      <c r="A33" s="7"/>
      <c r="B33" s="7"/>
      <c r="C33" s="7"/>
      <c r="D33" s="7"/>
      <c r="E33" s="7"/>
      <c r="F33" s="23"/>
      <c r="G33" s="7"/>
      <c r="H33" s="15">
        <f>IFERROR(__xludf.DUMMYFUNCTION("""COMPUTED_VALUE"""),42782.66666666667)</f>
        <v>42782.66667</v>
      </c>
      <c r="I33" s="16">
        <f>IFERROR(__xludf.DUMMYFUNCTION("""COMPUTED_VALUE"""),53.79)</f>
        <v>53.79</v>
      </c>
      <c r="J33" s="7"/>
    </row>
    <row r="34">
      <c r="A34" s="7"/>
      <c r="B34" s="7"/>
      <c r="C34" s="7"/>
      <c r="D34" s="7"/>
      <c r="E34" s="7"/>
      <c r="F34" s="23"/>
      <c r="G34" s="7"/>
      <c r="H34" s="15">
        <f>IFERROR(__xludf.DUMMYFUNCTION("""COMPUTED_VALUE"""),42783.66666666667)</f>
        <v>42783.66667</v>
      </c>
      <c r="I34" s="16">
        <f>IFERROR(__xludf.DUMMYFUNCTION("""COMPUTED_VALUE"""),54.45)</f>
        <v>54.45</v>
      </c>
      <c r="J34" s="7"/>
    </row>
    <row r="35">
      <c r="A35" s="7"/>
      <c r="B35" s="7"/>
      <c r="C35" s="7"/>
      <c r="D35" s="7"/>
      <c r="E35" s="7"/>
      <c r="F35" s="23"/>
      <c r="G35" s="7"/>
      <c r="H35" s="15">
        <f>IFERROR(__xludf.DUMMYFUNCTION("""COMPUTED_VALUE"""),42787.66666666667)</f>
        <v>42787.66667</v>
      </c>
      <c r="I35" s="16">
        <f>IFERROR(__xludf.DUMMYFUNCTION("""COMPUTED_VALUE"""),55.48)</f>
        <v>55.48</v>
      </c>
      <c r="J35" s="7"/>
    </row>
    <row r="36">
      <c r="A36" s="7"/>
      <c r="B36" s="7"/>
      <c r="C36" s="7"/>
      <c r="D36" s="7"/>
      <c r="E36" s="7"/>
      <c r="F36" s="23"/>
      <c r="G36" s="7"/>
      <c r="H36" s="15">
        <f>IFERROR(__xludf.DUMMYFUNCTION("""COMPUTED_VALUE"""),42788.66666666667)</f>
        <v>42788.66667</v>
      </c>
      <c r="I36" s="16">
        <f>IFERROR(__xludf.DUMMYFUNCTION("""COMPUTED_VALUE"""),54.7)</f>
        <v>54.7</v>
      </c>
      <c r="J36" s="7"/>
    </row>
    <row r="37">
      <c r="A37" s="7"/>
      <c r="B37" s="7"/>
      <c r="C37" s="7"/>
      <c r="D37" s="7"/>
      <c r="E37" s="7"/>
      <c r="F37" s="23"/>
      <c r="G37" s="7"/>
      <c r="H37" s="15">
        <f>IFERROR(__xludf.DUMMYFUNCTION("""COMPUTED_VALUE"""),42789.66666666667)</f>
        <v>42789.66667</v>
      </c>
      <c r="I37" s="16">
        <f>IFERROR(__xludf.DUMMYFUNCTION("""COMPUTED_VALUE"""),51.2)</f>
        <v>51.2</v>
      </c>
      <c r="J37" s="7"/>
    </row>
    <row r="38">
      <c r="A38" s="7"/>
      <c r="B38" s="7"/>
      <c r="C38" s="7"/>
      <c r="D38" s="7"/>
      <c r="E38" s="7"/>
      <c r="F38" s="23"/>
      <c r="G38" s="7"/>
      <c r="H38" s="15">
        <f>IFERROR(__xludf.DUMMYFUNCTION("""COMPUTED_VALUE"""),42790.66666666667)</f>
        <v>42790.66667</v>
      </c>
      <c r="I38" s="16">
        <f>IFERROR(__xludf.DUMMYFUNCTION("""COMPUTED_VALUE"""),51.4)</f>
        <v>51.4</v>
      </c>
      <c r="J38" s="7"/>
    </row>
    <row r="39">
      <c r="A39" s="7"/>
      <c r="B39" s="7"/>
      <c r="C39" s="7"/>
      <c r="D39" s="7"/>
      <c r="E39" s="7"/>
      <c r="F39" s="23"/>
      <c r="G39" s="7"/>
      <c r="H39" s="15">
        <f>IFERROR(__xludf.DUMMYFUNCTION("""COMPUTED_VALUE"""),42793.66666666667)</f>
        <v>42793.66667</v>
      </c>
      <c r="I39" s="16">
        <f>IFERROR(__xludf.DUMMYFUNCTION("""COMPUTED_VALUE"""),49.25)</f>
        <v>49.25</v>
      </c>
      <c r="J39" s="7"/>
    </row>
    <row r="40">
      <c r="A40" s="7"/>
      <c r="B40" s="7"/>
      <c r="C40" s="7"/>
      <c r="D40" s="7"/>
      <c r="E40" s="7"/>
      <c r="F40" s="23"/>
      <c r="G40" s="7"/>
      <c r="H40" s="15">
        <f>IFERROR(__xludf.DUMMYFUNCTION("""COMPUTED_VALUE"""),42794.66666666667)</f>
        <v>42794.66667</v>
      </c>
      <c r="I40" s="16">
        <f>IFERROR(__xludf.DUMMYFUNCTION("""COMPUTED_VALUE"""),50.0)</f>
        <v>50</v>
      </c>
      <c r="J40" s="7"/>
    </row>
    <row r="41">
      <c r="A41" s="7"/>
      <c r="B41" s="7"/>
      <c r="C41" s="7"/>
      <c r="D41" s="7"/>
      <c r="E41" s="7"/>
      <c r="F41" s="23"/>
      <c r="G41" s="7"/>
      <c r="H41" s="15">
        <f>IFERROR(__xludf.DUMMYFUNCTION("""COMPUTED_VALUE"""),42795.66666666667)</f>
        <v>42795.66667</v>
      </c>
      <c r="I41" s="16">
        <f>IFERROR(__xludf.DUMMYFUNCTION("""COMPUTED_VALUE"""),50.0)</f>
        <v>50</v>
      </c>
      <c r="J41" s="7"/>
    </row>
    <row r="42">
      <c r="A42" s="7"/>
      <c r="B42" s="7"/>
      <c r="C42" s="7"/>
      <c r="D42" s="7"/>
      <c r="E42" s="7"/>
      <c r="F42" s="23"/>
      <c r="G42" s="7"/>
      <c r="H42" s="15">
        <f>IFERROR(__xludf.DUMMYFUNCTION("""COMPUTED_VALUE"""),42796.66666666667)</f>
        <v>42796.66667</v>
      </c>
      <c r="I42" s="16">
        <f>IFERROR(__xludf.DUMMYFUNCTION("""COMPUTED_VALUE"""),50.1)</f>
        <v>50.1</v>
      </c>
      <c r="J42" s="7"/>
    </row>
    <row r="43">
      <c r="A43" s="7"/>
      <c r="B43" s="7"/>
      <c r="C43" s="7"/>
      <c r="D43" s="7"/>
      <c r="E43" s="7"/>
      <c r="F43" s="23"/>
      <c r="G43" s="7"/>
      <c r="H43" s="15">
        <f>IFERROR(__xludf.DUMMYFUNCTION("""COMPUTED_VALUE"""),42797.66666666667)</f>
        <v>42797.66667</v>
      </c>
      <c r="I43" s="16">
        <f>IFERROR(__xludf.DUMMYFUNCTION("""COMPUTED_VALUE"""),50.31)</f>
        <v>50.31</v>
      </c>
      <c r="J43" s="7"/>
    </row>
    <row r="44">
      <c r="A44" s="7"/>
      <c r="B44" s="7"/>
      <c r="C44" s="7"/>
      <c r="D44" s="7"/>
      <c r="E44" s="7"/>
      <c r="F44" s="23"/>
      <c r="G44" s="7"/>
      <c r="H44" s="15">
        <f>IFERROR(__xludf.DUMMYFUNCTION("""COMPUTED_VALUE"""),42800.66666666667)</f>
        <v>42800.66667</v>
      </c>
      <c r="I44" s="16">
        <f>IFERROR(__xludf.DUMMYFUNCTION("""COMPUTED_VALUE"""),50.24)</f>
        <v>50.24</v>
      </c>
      <c r="J44" s="7"/>
    </row>
    <row r="45">
      <c r="A45" s="7"/>
      <c r="B45" s="7"/>
      <c r="C45" s="7"/>
      <c r="D45" s="7"/>
      <c r="E45" s="7"/>
      <c r="F45" s="23"/>
      <c r="G45" s="7"/>
      <c r="H45" s="15">
        <f>IFERROR(__xludf.DUMMYFUNCTION("""COMPUTED_VALUE"""),42801.66666666667)</f>
        <v>42801.66667</v>
      </c>
      <c r="I45" s="16">
        <f>IFERROR(__xludf.DUMMYFUNCTION("""COMPUTED_VALUE"""),49.72)</f>
        <v>49.72</v>
      </c>
      <c r="J45" s="7"/>
    </row>
    <row r="46">
      <c r="A46" s="7"/>
      <c r="B46" s="7"/>
      <c r="C46" s="7"/>
      <c r="D46" s="7"/>
      <c r="E46" s="7"/>
      <c r="F46" s="23"/>
      <c r="G46" s="7"/>
      <c r="H46" s="15">
        <f>IFERROR(__xludf.DUMMYFUNCTION("""COMPUTED_VALUE"""),42802.66666666667)</f>
        <v>42802.66667</v>
      </c>
      <c r="I46" s="16">
        <f>IFERROR(__xludf.DUMMYFUNCTION("""COMPUTED_VALUE"""),49.37)</f>
        <v>49.37</v>
      </c>
      <c r="J46" s="7"/>
    </row>
    <row r="47">
      <c r="A47" s="7"/>
      <c r="B47" s="7"/>
      <c r="C47" s="7"/>
      <c r="D47" s="7"/>
      <c r="E47" s="7"/>
      <c r="F47" s="23"/>
      <c r="G47" s="7"/>
      <c r="H47" s="15">
        <f>IFERROR(__xludf.DUMMYFUNCTION("""COMPUTED_VALUE"""),42803.66666666667)</f>
        <v>42803.66667</v>
      </c>
      <c r="I47" s="16">
        <f>IFERROR(__xludf.DUMMYFUNCTION("""COMPUTED_VALUE"""),48.98)</f>
        <v>48.98</v>
      </c>
      <c r="J47" s="7"/>
    </row>
    <row r="48">
      <c r="A48" s="7"/>
      <c r="B48" s="7"/>
      <c r="C48" s="7"/>
      <c r="D48" s="7"/>
      <c r="E48" s="7"/>
      <c r="F48" s="23"/>
      <c r="G48" s="7"/>
      <c r="H48" s="15">
        <f>IFERROR(__xludf.DUMMYFUNCTION("""COMPUTED_VALUE"""),42804.66666666667)</f>
        <v>42804.66667</v>
      </c>
      <c r="I48" s="16">
        <f>IFERROR(__xludf.DUMMYFUNCTION("""COMPUTED_VALUE"""),48.74)</f>
        <v>48.74</v>
      </c>
      <c r="J48" s="7"/>
    </row>
    <row r="49">
      <c r="A49" s="7"/>
      <c r="B49" s="7"/>
      <c r="C49" s="7"/>
      <c r="D49" s="7"/>
      <c r="E49" s="7"/>
      <c r="F49" s="23"/>
      <c r="G49" s="7"/>
      <c r="H49" s="15">
        <f>IFERROR(__xludf.DUMMYFUNCTION("""COMPUTED_VALUE"""),42807.66666666667)</f>
        <v>42807.66667</v>
      </c>
      <c r="I49" s="16">
        <f>IFERROR(__xludf.DUMMYFUNCTION("""COMPUTED_VALUE"""),49.23)</f>
        <v>49.23</v>
      </c>
      <c r="J49" s="7"/>
    </row>
    <row r="50">
      <c r="A50" s="7"/>
      <c r="B50" s="7"/>
      <c r="C50" s="7"/>
      <c r="D50" s="7"/>
      <c r="E50" s="7"/>
      <c r="F50" s="23"/>
      <c r="G50" s="7"/>
      <c r="H50" s="15">
        <f>IFERROR(__xludf.DUMMYFUNCTION("""COMPUTED_VALUE"""),42808.66666666667)</f>
        <v>42808.66667</v>
      </c>
      <c r="I50" s="16">
        <f>IFERROR(__xludf.DUMMYFUNCTION("""COMPUTED_VALUE"""),51.6)</f>
        <v>51.6</v>
      </c>
      <c r="J50" s="7"/>
    </row>
    <row r="51">
      <c r="A51" s="7"/>
      <c r="B51" s="7"/>
      <c r="C51" s="7"/>
      <c r="D51" s="7"/>
      <c r="E51" s="7"/>
      <c r="F51" s="23"/>
      <c r="G51" s="7"/>
      <c r="H51" s="15">
        <f>IFERROR(__xludf.DUMMYFUNCTION("""COMPUTED_VALUE"""),42809.66666666667)</f>
        <v>42809.66667</v>
      </c>
      <c r="I51" s="16">
        <f>IFERROR(__xludf.DUMMYFUNCTION("""COMPUTED_VALUE"""),51.15)</f>
        <v>51.15</v>
      </c>
      <c r="J51" s="7"/>
    </row>
    <row r="52">
      <c r="A52" s="7"/>
      <c r="B52" s="7"/>
      <c r="C52" s="7"/>
      <c r="D52" s="7"/>
      <c r="E52" s="7"/>
      <c r="F52" s="23"/>
      <c r="G52" s="7"/>
      <c r="H52" s="15">
        <f>IFERROR(__xludf.DUMMYFUNCTION("""COMPUTED_VALUE"""),42810.66666666667)</f>
        <v>42810.66667</v>
      </c>
      <c r="I52" s="16">
        <f>IFERROR(__xludf.DUMMYFUNCTION("""COMPUTED_VALUE"""),52.41)</f>
        <v>52.41</v>
      </c>
      <c r="J52" s="7"/>
    </row>
    <row r="53">
      <c r="A53" s="7"/>
      <c r="B53" s="7"/>
      <c r="C53" s="7"/>
      <c r="D53" s="7"/>
      <c r="E53" s="7"/>
      <c r="F53" s="23"/>
      <c r="G53" s="7"/>
      <c r="H53" s="15">
        <f>IFERROR(__xludf.DUMMYFUNCTION("""COMPUTED_VALUE"""),42811.66666666667)</f>
        <v>42811.66667</v>
      </c>
      <c r="I53" s="16">
        <f>IFERROR(__xludf.DUMMYFUNCTION("""COMPUTED_VALUE"""),52.3)</f>
        <v>52.3</v>
      </c>
      <c r="J53" s="7"/>
    </row>
    <row r="54">
      <c r="A54" s="7"/>
      <c r="B54" s="7"/>
      <c r="C54" s="7"/>
      <c r="D54" s="7"/>
      <c r="E54" s="7"/>
      <c r="F54" s="23"/>
      <c r="G54" s="7"/>
      <c r="H54" s="15">
        <f>IFERROR(__xludf.DUMMYFUNCTION("""COMPUTED_VALUE"""),42814.66666666667)</f>
        <v>42814.66667</v>
      </c>
      <c r="I54" s="16">
        <f>IFERROR(__xludf.DUMMYFUNCTION("""COMPUTED_VALUE"""),52.38)</f>
        <v>52.38</v>
      </c>
      <c r="J54" s="7"/>
    </row>
    <row r="55">
      <c r="A55" s="7"/>
      <c r="B55" s="7"/>
      <c r="C55" s="7"/>
      <c r="D55" s="7"/>
      <c r="E55" s="7"/>
      <c r="F55" s="23"/>
      <c r="G55" s="7"/>
      <c r="H55" s="15">
        <f>IFERROR(__xludf.DUMMYFUNCTION("""COMPUTED_VALUE"""),42815.66666666667)</f>
        <v>42815.66667</v>
      </c>
      <c r="I55" s="16">
        <f>IFERROR(__xludf.DUMMYFUNCTION("""COMPUTED_VALUE"""),50.14)</f>
        <v>50.14</v>
      </c>
      <c r="J55" s="7"/>
    </row>
    <row r="56">
      <c r="A56" s="7"/>
      <c r="B56" s="7"/>
      <c r="C56" s="7"/>
      <c r="D56" s="7"/>
      <c r="E56" s="7"/>
      <c r="F56" s="23"/>
      <c r="G56" s="7"/>
      <c r="H56" s="15">
        <f>IFERROR(__xludf.DUMMYFUNCTION("""COMPUTED_VALUE"""),42816.66666666667)</f>
        <v>42816.66667</v>
      </c>
      <c r="I56" s="16">
        <f>IFERROR(__xludf.DUMMYFUNCTION("""COMPUTED_VALUE"""),51.0)</f>
        <v>51</v>
      </c>
      <c r="J56" s="7"/>
    </row>
    <row r="57">
      <c r="A57" s="7"/>
      <c r="B57" s="7"/>
      <c r="C57" s="7"/>
      <c r="D57" s="7"/>
      <c r="E57" s="7"/>
      <c r="F57" s="23"/>
      <c r="G57" s="7"/>
      <c r="H57" s="15">
        <f>IFERROR(__xludf.DUMMYFUNCTION("""COMPUTED_VALUE"""),42817.66666666667)</f>
        <v>42817.66667</v>
      </c>
      <c r="I57" s="16">
        <f>IFERROR(__xludf.DUMMYFUNCTION("""COMPUTED_VALUE"""),50.96)</f>
        <v>50.96</v>
      </c>
      <c r="J57" s="7"/>
    </row>
    <row r="58">
      <c r="A58" s="7"/>
      <c r="B58" s="7"/>
      <c r="C58" s="7"/>
      <c r="D58" s="7"/>
      <c r="E58" s="7"/>
      <c r="F58" s="23"/>
      <c r="G58" s="7"/>
      <c r="H58" s="15">
        <f>IFERROR(__xludf.DUMMYFUNCTION("""COMPUTED_VALUE"""),42818.66666666667)</f>
        <v>42818.66667</v>
      </c>
      <c r="I58" s="16">
        <f>IFERROR(__xludf.DUMMYFUNCTION("""COMPUTED_VALUE"""),52.63)</f>
        <v>52.63</v>
      </c>
      <c r="J58" s="7"/>
    </row>
    <row r="59">
      <c r="A59" s="7"/>
      <c r="B59" s="7"/>
      <c r="C59" s="7"/>
      <c r="D59" s="7"/>
      <c r="E59" s="7"/>
      <c r="F59" s="23"/>
      <c r="G59" s="7"/>
      <c r="H59" s="15">
        <f>IFERROR(__xludf.DUMMYFUNCTION("""COMPUTED_VALUE"""),42821.66666666667)</f>
        <v>42821.66667</v>
      </c>
      <c r="I59" s="16">
        <f>IFERROR(__xludf.DUMMYFUNCTION("""COMPUTED_VALUE"""),54.04)</f>
        <v>54.04</v>
      </c>
      <c r="J59" s="7"/>
    </row>
    <row r="60">
      <c r="A60" s="7"/>
      <c r="B60" s="7"/>
      <c r="C60" s="7"/>
      <c r="D60" s="7"/>
      <c r="E60" s="7"/>
      <c r="F60" s="23"/>
      <c r="G60" s="7"/>
      <c r="H60" s="15">
        <f>IFERROR(__xludf.DUMMYFUNCTION("""COMPUTED_VALUE"""),42822.66666666667)</f>
        <v>42822.66667</v>
      </c>
      <c r="I60" s="16">
        <f>IFERROR(__xludf.DUMMYFUNCTION("""COMPUTED_VALUE"""),55.49)</f>
        <v>55.49</v>
      </c>
      <c r="J60" s="7"/>
    </row>
    <row r="61">
      <c r="A61" s="7"/>
      <c r="B61" s="7"/>
      <c r="C61" s="7"/>
      <c r="D61" s="7"/>
      <c r="E61" s="7"/>
      <c r="F61" s="23"/>
      <c r="G61" s="7"/>
      <c r="H61" s="15">
        <f>IFERROR(__xludf.DUMMYFUNCTION("""COMPUTED_VALUE"""),42823.66666666667)</f>
        <v>42823.66667</v>
      </c>
      <c r="I61" s="16">
        <f>IFERROR(__xludf.DUMMYFUNCTION("""COMPUTED_VALUE"""),55.48)</f>
        <v>55.48</v>
      </c>
      <c r="J61" s="7"/>
    </row>
    <row r="62">
      <c r="A62" s="7"/>
      <c r="B62" s="7"/>
      <c r="C62" s="7"/>
      <c r="D62" s="7"/>
      <c r="E62" s="7"/>
      <c r="F62" s="23"/>
      <c r="G62" s="7"/>
      <c r="H62" s="15">
        <f>IFERROR(__xludf.DUMMYFUNCTION("""COMPUTED_VALUE"""),42824.66666666667)</f>
        <v>42824.66667</v>
      </c>
      <c r="I62" s="16">
        <f>IFERROR(__xludf.DUMMYFUNCTION("""COMPUTED_VALUE"""),55.58)</f>
        <v>55.58</v>
      </c>
      <c r="J62" s="7"/>
    </row>
    <row r="63">
      <c r="A63" s="7"/>
      <c r="B63" s="7"/>
      <c r="C63" s="7"/>
      <c r="D63" s="7"/>
      <c r="E63" s="7"/>
      <c r="F63" s="23"/>
      <c r="G63" s="7"/>
      <c r="H63" s="15">
        <f>IFERROR(__xludf.DUMMYFUNCTION("""COMPUTED_VALUE"""),42825.66666666667)</f>
        <v>42825.66667</v>
      </c>
      <c r="I63" s="16">
        <f>IFERROR(__xludf.DUMMYFUNCTION("""COMPUTED_VALUE"""),55.66)</f>
        <v>55.66</v>
      </c>
      <c r="J63" s="7"/>
    </row>
    <row r="64">
      <c r="A64" s="7"/>
      <c r="B64" s="7"/>
      <c r="C64" s="7"/>
      <c r="D64" s="7"/>
      <c r="E64" s="7"/>
      <c r="F64" s="23"/>
      <c r="G64" s="7"/>
      <c r="H64" s="15">
        <f>IFERROR(__xludf.DUMMYFUNCTION("""COMPUTED_VALUE"""),42828.66666666667)</f>
        <v>42828.66667</v>
      </c>
      <c r="I64" s="16">
        <f>IFERROR(__xludf.DUMMYFUNCTION("""COMPUTED_VALUE"""),59.7)</f>
        <v>59.7</v>
      </c>
      <c r="J64" s="7"/>
    </row>
    <row r="65">
      <c r="A65" s="7"/>
      <c r="B65" s="7"/>
      <c r="C65" s="7"/>
      <c r="D65" s="7"/>
      <c r="E65" s="7"/>
      <c r="F65" s="23"/>
      <c r="G65" s="7"/>
      <c r="H65" s="15">
        <f>IFERROR(__xludf.DUMMYFUNCTION("""COMPUTED_VALUE"""),42829.66666666667)</f>
        <v>42829.66667</v>
      </c>
      <c r="I65" s="16">
        <f>IFERROR(__xludf.DUMMYFUNCTION("""COMPUTED_VALUE"""),60.74)</f>
        <v>60.74</v>
      </c>
      <c r="J65" s="7"/>
    </row>
    <row r="66">
      <c r="A66" s="7"/>
      <c r="B66" s="7"/>
      <c r="C66" s="7"/>
      <c r="D66" s="7"/>
      <c r="E66" s="7"/>
      <c r="F66" s="23"/>
      <c r="G66" s="7"/>
      <c r="H66" s="15">
        <f>IFERROR(__xludf.DUMMYFUNCTION("""COMPUTED_VALUE"""),42830.66666666667)</f>
        <v>42830.66667</v>
      </c>
      <c r="I66" s="16">
        <f>IFERROR(__xludf.DUMMYFUNCTION("""COMPUTED_VALUE"""),59.0)</f>
        <v>59</v>
      </c>
      <c r="J66" s="7"/>
    </row>
    <row r="67">
      <c r="A67" s="7"/>
      <c r="B67" s="7"/>
      <c r="C67" s="7"/>
      <c r="D67" s="7"/>
      <c r="E67" s="7"/>
      <c r="F67" s="23"/>
      <c r="G67" s="7"/>
      <c r="H67" s="15">
        <f>IFERROR(__xludf.DUMMYFUNCTION("""COMPUTED_VALUE"""),42831.66666666667)</f>
        <v>42831.66667</v>
      </c>
      <c r="I67" s="16">
        <f>IFERROR(__xludf.DUMMYFUNCTION("""COMPUTED_VALUE"""),59.74)</f>
        <v>59.74</v>
      </c>
      <c r="J67" s="7"/>
    </row>
    <row r="68">
      <c r="A68" s="7"/>
      <c r="B68" s="7"/>
      <c r="C68" s="7"/>
      <c r="D68" s="7"/>
      <c r="E68" s="7"/>
      <c r="F68" s="23"/>
      <c r="G68" s="7"/>
      <c r="H68" s="15">
        <f>IFERROR(__xludf.DUMMYFUNCTION("""COMPUTED_VALUE"""),42832.66666666667)</f>
        <v>42832.66667</v>
      </c>
      <c r="I68" s="16">
        <f>IFERROR(__xludf.DUMMYFUNCTION("""COMPUTED_VALUE"""),60.51)</f>
        <v>60.51</v>
      </c>
      <c r="J68" s="7"/>
    </row>
    <row r="69">
      <c r="A69" s="7"/>
      <c r="B69" s="7"/>
      <c r="C69" s="7"/>
      <c r="D69" s="7"/>
      <c r="E69" s="7"/>
      <c r="F69" s="23"/>
      <c r="G69" s="7"/>
      <c r="H69" s="15">
        <f>IFERROR(__xludf.DUMMYFUNCTION("""COMPUTED_VALUE"""),42835.66666666667)</f>
        <v>42835.66667</v>
      </c>
      <c r="I69" s="16">
        <f>IFERROR(__xludf.DUMMYFUNCTION("""COMPUTED_VALUE"""),62.48)</f>
        <v>62.48</v>
      </c>
      <c r="J69" s="7"/>
    </row>
    <row r="70">
      <c r="A70" s="7"/>
      <c r="B70" s="7"/>
      <c r="C70" s="7"/>
      <c r="D70" s="7"/>
      <c r="E70" s="7"/>
      <c r="F70" s="23"/>
      <c r="G70" s="7"/>
      <c r="H70" s="15">
        <f>IFERROR(__xludf.DUMMYFUNCTION("""COMPUTED_VALUE"""),42836.66666666667)</f>
        <v>42836.66667</v>
      </c>
      <c r="I70" s="16">
        <f>IFERROR(__xludf.DUMMYFUNCTION("""COMPUTED_VALUE"""),61.74)</f>
        <v>61.74</v>
      </c>
      <c r="J70" s="7"/>
    </row>
    <row r="71">
      <c r="A71" s="7"/>
      <c r="B71" s="7"/>
      <c r="C71" s="7"/>
      <c r="D71" s="7"/>
      <c r="E71" s="7"/>
      <c r="F71" s="23"/>
      <c r="G71" s="7"/>
      <c r="H71" s="15">
        <f>IFERROR(__xludf.DUMMYFUNCTION("""COMPUTED_VALUE"""),42837.66666666667)</f>
        <v>42837.66667</v>
      </c>
      <c r="I71" s="16">
        <f>IFERROR(__xludf.DUMMYFUNCTION("""COMPUTED_VALUE"""),59.37)</f>
        <v>59.37</v>
      </c>
      <c r="J71" s="7"/>
    </row>
    <row r="72">
      <c r="A72" s="7"/>
      <c r="B72" s="7"/>
      <c r="C72" s="7"/>
      <c r="D72" s="7"/>
      <c r="E72" s="7"/>
      <c r="F72" s="23"/>
      <c r="G72" s="7"/>
      <c r="H72" s="15">
        <f>IFERROR(__xludf.DUMMYFUNCTION("""COMPUTED_VALUE"""),42838.66666666667)</f>
        <v>42838.66667</v>
      </c>
      <c r="I72" s="16">
        <f>IFERROR(__xludf.DUMMYFUNCTION("""COMPUTED_VALUE"""),60.8)</f>
        <v>60.8</v>
      </c>
      <c r="J72" s="7"/>
    </row>
    <row r="73">
      <c r="A73" s="7"/>
      <c r="B73" s="7"/>
      <c r="C73" s="7"/>
      <c r="D73" s="7"/>
      <c r="E73" s="7"/>
      <c r="F73" s="23"/>
      <c r="G73" s="7"/>
      <c r="H73" s="15">
        <f>IFERROR(__xludf.DUMMYFUNCTION("""COMPUTED_VALUE"""),42842.66666666667)</f>
        <v>42842.66667</v>
      </c>
      <c r="I73" s="16">
        <f>IFERROR(__xludf.DUMMYFUNCTION("""COMPUTED_VALUE"""),60.29)</f>
        <v>60.29</v>
      </c>
      <c r="J73" s="7"/>
    </row>
    <row r="74">
      <c r="A74" s="7"/>
      <c r="B74" s="7"/>
      <c r="C74" s="7"/>
      <c r="D74" s="7"/>
      <c r="E74" s="7"/>
      <c r="F74" s="23"/>
      <c r="G74" s="7"/>
      <c r="H74" s="15">
        <f>IFERROR(__xludf.DUMMYFUNCTION("""COMPUTED_VALUE"""),42843.66666666667)</f>
        <v>42843.66667</v>
      </c>
      <c r="I74" s="16">
        <f>IFERROR(__xludf.DUMMYFUNCTION("""COMPUTED_VALUE"""),60.05)</f>
        <v>60.05</v>
      </c>
      <c r="J74" s="7"/>
    </row>
    <row r="75">
      <c r="A75" s="7"/>
      <c r="B75" s="7"/>
      <c r="C75" s="7"/>
      <c r="D75" s="7"/>
      <c r="E75" s="7"/>
      <c r="F75" s="23"/>
      <c r="G75" s="7"/>
      <c r="H75" s="15">
        <f>IFERROR(__xludf.DUMMYFUNCTION("""COMPUTED_VALUE"""),42844.66666666667)</f>
        <v>42844.66667</v>
      </c>
      <c r="I75" s="16">
        <f>IFERROR(__xludf.DUMMYFUNCTION("""COMPUTED_VALUE"""),61.1)</f>
        <v>61.1</v>
      </c>
      <c r="J75" s="7"/>
    </row>
    <row r="76">
      <c r="A76" s="7"/>
      <c r="B76" s="7"/>
      <c r="C76" s="7"/>
      <c r="D76" s="7"/>
      <c r="E76" s="7"/>
      <c r="F76" s="23"/>
      <c r="G76" s="7"/>
      <c r="H76" s="15">
        <f>IFERROR(__xludf.DUMMYFUNCTION("""COMPUTED_VALUE"""),42845.66666666667)</f>
        <v>42845.66667</v>
      </c>
      <c r="I76" s="16">
        <f>IFERROR(__xludf.DUMMYFUNCTION("""COMPUTED_VALUE"""),60.5)</f>
        <v>60.5</v>
      </c>
      <c r="J76" s="7"/>
    </row>
    <row r="77">
      <c r="A77" s="7"/>
      <c r="B77" s="7"/>
      <c r="C77" s="7"/>
      <c r="D77" s="7"/>
      <c r="E77" s="7"/>
      <c r="F77" s="23"/>
      <c r="G77" s="7"/>
      <c r="H77" s="15">
        <f>IFERROR(__xludf.DUMMYFUNCTION("""COMPUTED_VALUE"""),42846.66666666667)</f>
        <v>42846.66667</v>
      </c>
      <c r="I77" s="16">
        <f>IFERROR(__xludf.DUMMYFUNCTION("""COMPUTED_VALUE"""),61.12)</f>
        <v>61.12</v>
      </c>
      <c r="J77" s="7"/>
    </row>
    <row r="78">
      <c r="A78" s="7"/>
      <c r="B78" s="7"/>
      <c r="C78" s="7"/>
      <c r="D78" s="7"/>
      <c r="E78" s="7"/>
      <c r="F78" s="23"/>
      <c r="G78" s="7"/>
      <c r="H78" s="15">
        <f>IFERROR(__xludf.DUMMYFUNCTION("""COMPUTED_VALUE"""),42849.66666666667)</f>
        <v>42849.66667</v>
      </c>
      <c r="I78" s="16">
        <f>IFERROR(__xludf.DUMMYFUNCTION("""COMPUTED_VALUE"""),61.61)</f>
        <v>61.61</v>
      </c>
      <c r="J78" s="7"/>
    </row>
    <row r="79">
      <c r="A79" s="7"/>
      <c r="B79" s="7"/>
      <c r="C79" s="7"/>
      <c r="D79" s="7"/>
      <c r="E79" s="7"/>
      <c r="F79" s="23"/>
      <c r="G79" s="7"/>
      <c r="H79" s="15">
        <f>IFERROR(__xludf.DUMMYFUNCTION("""COMPUTED_VALUE"""),42850.66666666667)</f>
        <v>42850.66667</v>
      </c>
      <c r="I79" s="16">
        <f>IFERROR(__xludf.DUMMYFUNCTION("""COMPUTED_VALUE"""),62.76)</f>
        <v>62.76</v>
      </c>
      <c r="J79" s="7"/>
    </row>
    <row r="80">
      <c r="A80" s="7"/>
      <c r="B80" s="7"/>
      <c r="C80" s="7"/>
      <c r="D80" s="7"/>
      <c r="E80" s="7"/>
      <c r="F80" s="23"/>
      <c r="G80" s="7"/>
      <c r="H80" s="15">
        <f>IFERROR(__xludf.DUMMYFUNCTION("""COMPUTED_VALUE"""),42851.66666666667)</f>
        <v>42851.66667</v>
      </c>
      <c r="I80" s="16">
        <f>IFERROR(__xludf.DUMMYFUNCTION("""COMPUTED_VALUE"""),62.03)</f>
        <v>62.03</v>
      </c>
      <c r="J80" s="7"/>
    </row>
    <row r="81">
      <c r="A81" s="7"/>
      <c r="B81" s="7"/>
      <c r="C81" s="7"/>
      <c r="D81" s="7"/>
      <c r="E81" s="7"/>
      <c r="F81" s="23"/>
      <c r="G81" s="7"/>
      <c r="H81" s="15">
        <f>IFERROR(__xludf.DUMMYFUNCTION("""COMPUTED_VALUE"""),42852.66666666667)</f>
        <v>42852.66667</v>
      </c>
      <c r="I81" s="16">
        <f>IFERROR(__xludf.DUMMYFUNCTION("""COMPUTED_VALUE"""),61.73)</f>
        <v>61.73</v>
      </c>
      <c r="J81" s="7"/>
    </row>
    <row r="82">
      <c r="A82" s="7"/>
      <c r="B82" s="7"/>
      <c r="C82" s="7"/>
      <c r="D82" s="7"/>
      <c r="E82" s="7"/>
      <c r="F82" s="23"/>
      <c r="G82" s="7"/>
      <c r="H82" s="15">
        <f>IFERROR(__xludf.DUMMYFUNCTION("""COMPUTED_VALUE"""),42853.66666666667)</f>
        <v>42853.66667</v>
      </c>
      <c r="I82" s="16">
        <f>IFERROR(__xludf.DUMMYFUNCTION("""COMPUTED_VALUE"""),62.81)</f>
        <v>62.81</v>
      </c>
      <c r="J82" s="7"/>
    </row>
    <row r="83">
      <c r="A83" s="7"/>
      <c r="B83" s="7"/>
      <c r="C83" s="7"/>
      <c r="D83" s="7"/>
      <c r="E83" s="7"/>
      <c r="F83" s="23"/>
      <c r="G83" s="7"/>
      <c r="H83" s="15">
        <f>IFERROR(__xludf.DUMMYFUNCTION("""COMPUTED_VALUE"""),42856.66666666667)</f>
        <v>42856.66667</v>
      </c>
      <c r="I83" s="16">
        <f>IFERROR(__xludf.DUMMYFUNCTION("""COMPUTED_VALUE"""),64.57)</f>
        <v>64.57</v>
      </c>
      <c r="J83" s="7"/>
    </row>
    <row r="84">
      <c r="A84" s="7"/>
      <c r="B84" s="7"/>
      <c r="C84" s="7"/>
      <c r="D84" s="7"/>
      <c r="E84" s="7"/>
      <c r="F84" s="23"/>
      <c r="G84" s="7"/>
      <c r="H84" s="15">
        <f>IFERROR(__xludf.DUMMYFUNCTION("""COMPUTED_VALUE"""),42857.66666666667)</f>
        <v>42857.66667</v>
      </c>
      <c r="I84" s="16">
        <f>IFERROR(__xludf.DUMMYFUNCTION("""COMPUTED_VALUE"""),63.78)</f>
        <v>63.78</v>
      </c>
      <c r="J84" s="7"/>
    </row>
    <row r="85">
      <c r="A85" s="7"/>
      <c r="B85" s="7"/>
      <c r="C85" s="7"/>
      <c r="D85" s="7"/>
      <c r="E85" s="7"/>
      <c r="F85" s="23"/>
      <c r="G85" s="7"/>
      <c r="H85" s="15">
        <f>IFERROR(__xludf.DUMMYFUNCTION("""COMPUTED_VALUE"""),42858.66666666667)</f>
        <v>42858.66667</v>
      </c>
      <c r="I85" s="16">
        <f>IFERROR(__xludf.DUMMYFUNCTION("""COMPUTED_VALUE"""),62.2)</f>
        <v>62.2</v>
      </c>
      <c r="J85" s="7"/>
    </row>
    <row r="86">
      <c r="A86" s="7"/>
      <c r="B86" s="7"/>
      <c r="C86" s="7"/>
      <c r="D86" s="7"/>
      <c r="E86" s="7"/>
      <c r="F86" s="23"/>
      <c r="G86" s="7"/>
      <c r="H86" s="15">
        <f>IFERROR(__xludf.DUMMYFUNCTION("""COMPUTED_VALUE"""),42859.66666666667)</f>
        <v>42859.66667</v>
      </c>
      <c r="I86" s="16">
        <f>IFERROR(__xludf.DUMMYFUNCTION("""COMPUTED_VALUE"""),59.09)</f>
        <v>59.09</v>
      </c>
      <c r="J86" s="7"/>
    </row>
    <row r="87">
      <c r="A87" s="7"/>
      <c r="B87" s="7"/>
      <c r="C87" s="7"/>
      <c r="D87" s="7"/>
      <c r="E87" s="7"/>
      <c r="F87" s="23"/>
      <c r="G87" s="7"/>
      <c r="H87" s="15">
        <f>IFERROR(__xludf.DUMMYFUNCTION("""COMPUTED_VALUE"""),42860.66666666667)</f>
        <v>42860.66667</v>
      </c>
      <c r="I87" s="16">
        <f>IFERROR(__xludf.DUMMYFUNCTION("""COMPUTED_VALUE"""),61.67)</f>
        <v>61.67</v>
      </c>
      <c r="J87" s="7"/>
    </row>
    <row r="88">
      <c r="A88" s="7"/>
      <c r="B88" s="7"/>
      <c r="C88" s="7"/>
      <c r="D88" s="7"/>
      <c r="E88" s="7"/>
      <c r="F88" s="23"/>
      <c r="G88" s="7"/>
      <c r="H88" s="15">
        <f>IFERROR(__xludf.DUMMYFUNCTION("""COMPUTED_VALUE"""),42863.66666666667)</f>
        <v>42863.66667</v>
      </c>
      <c r="I88" s="16">
        <f>IFERROR(__xludf.DUMMYFUNCTION("""COMPUTED_VALUE"""),61.44)</f>
        <v>61.44</v>
      </c>
      <c r="J88" s="7"/>
    </row>
    <row r="89">
      <c r="A89" s="7"/>
      <c r="B89" s="7"/>
      <c r="C89" s="7"/>
      <c r="D89" s="7"/>
      <c r="E89" s="7"/>
      <c r="F89" s="23"/>
      <c r="G89" s="7"/>
      <c r="H89" s="15">
        <f>IFERROR(__xludf.DUMMYFUNCTION("""COMPUTED_VALUE"""),42864.66666666667)</f>
        <v>42864.66667</v>
      </c>
      <c r="I89" s="16">
        <f>IFERROR(__xludf.DUMMYFUNCTION("""COMPUTED_VALUE"""),64.25)</f>
        <v>64.25</v>
      </c>
      <c r="J89" s="7"/>
    </row>
    <row r="90">
      <c r="A90" s="7"/>
      <c r="B90" s="7"/>
      <c r="C90" s="7"/>
      <c r="D90" s="7"/>
      <c r="E90" s="7"/>
      <c r="F90" s="23"/>
      <c r="G90" s="7"/>
      <c r="H90" s="15">
        <f>IFERROR(__xludf.DUMMYFUNCTION("""COMPUTED_VALUE"""),42865.66666666667)</f>
        <v>42865.66667</v>
      </c>
      <c r="I90" s="16">
        <f>IFERROR(__xludf.DUMMYFUNCTION("""COMPUTED_VALUE"""),65.04)</f>
        <v>65.04</v>
      </c>
      <c r="J90" s="7"/>
    </row>
    <row r="91">
      <c r="A91" s="7"/>
      <c r="B91" s="7"/>
      <c r="C91" s="7"/>
      <c r="D91" s="7"/>
      <c r="E91" s="7"/>
      <c r="F91" s="23"/>
      <c r="G91" s="7"/>
      <c r="H91" s="15">
        <f>IFERROR(__xludf.DUMMYFUNCTION("""COMPUTED_VALUE"""),42866.66666666667)</f>
        <v>42866.66667</v>
      </c>
      <c r="I91" s="16">
        <f>IFERROR(__xludf.DUMMYFUNCTION("""COMPUTED_VALUE"""),64.62)</f>
        <v>64.62</v>
      </c>
      <c r="J91" s="7"/>
    </row>
    <row r="92">
      <c r="A92" s="7"/>
      <c r="B92" s="7"/>
      <c r="C92" s="7"/>
      <c r="D92" s="7"/>
      <c r="E92" s="7"/>
      <c r="F92" s="23"/>
      <c r="G92" s="7"/>
      <c r="H92" s="15">
        <f>IFERROR(__xludf.DUMMYFUNCTION("""COMPUTED_VALUE"""),42867.66666666667)</f>
        <v>42867.66667</v>
      </c>
      <c r="I92" s="16">
        <f>IFERROR(__xludf.DUMMYFUNCTION("""COMPUTED_VALUE"""),64.96)</f>
        <v>64.96</v>
      </c>
      <c r="J92" s="7"/>
    </row>
    <row r="93">
      <c r="A93" s="7"/>
      <c r="B93" s="7"/>
      <c r="C93" s="7"/>
      <c r="D93" s="7"/>
      <c r="E93" s="7"/>
      <c r="F93" s="23"/>
      <c r="G93" s="7"/>
      <c r="H93" s="15">
        <f>IFERROR(__xludf.DUMMYFUNCTION("""COMPUTED_VALUE"""),42870.66666666667)</f>
        <v>42870.66667</v>
      </c>
      <c r="I93" s="16">
        <f>IFERROR(__xludf.DUMMYFUNCTION("""COMPUTED_VALUE"""),63.18)</f>
        <v>63.18</v>
      </c>
      <c r="J93" s="7"/>
    </row>
    <row r="94">
      <c r="A94" s="7"/>
      <c r="B94" s="7"/>
      <c r="C94" s="7"/>
      <c r="D94" s="7"/>
      <c r="E94" s="7"/>
      <c r="F94" s="23"/>
      <c r="G94" s="7"/>
      <c r="H94" s="15">
        <f>IFERROR(__xludf.DUMMYFUNCTION("""COMPUTED_VALUE"""),42871.66666666667)</f>
        <v>42871.66667</v>
      </c>
      <c r="I94" s="16">
        <f>IFERROR(__xludf.DUMMYFUNCTION("""COMPUTED_VALUE"""),63.4)</f>
        <v>63.4</v>
      </c>
      <c r="J94" s="7"/>
    </row>
    <row r="95">
      <c r="A95" s="7"/>
      <c r="B95" s="7"/>
      <c r="C95" s="7"/>
      <c r="D95" s="7"/>
      <c r="E95" s="7"/>
      <c r="F95" s="23"/>
      <c r="G95" s="7"/>
      <c r="H95" s="15">
        <f>IFERROR(__xludf.DUMMYFUNCTION("""COMPUTED_VALUE"""),42872.66666666667)</f>
        <v>42872.66667</v>
      </c>
      <c r="I95" s="16">
        <f>IFERROR(__xludf.DUMMYFUNCTION("""COMPUTED_VALUE"""),61.22)</f>
        <v>61.22</v>
      </c>
      <c r="J95" s="7"/>
    </row>
    <row r="96">
      <c r="A96" s="7"/>
      <c r="B96" s="7"/>
      <c r="C96" s="7"/>
      <c r="D96" s="7"/>
      <c r="E96" s="7"/>
      <c r="F96" s="23"/>
      <c r="G96" s="7"/>
      <c r="H96" s="15">
        <f>IFERROR(__xludf.DUMMYFUNCTION("""COMPUTED_VALUE"""),42873.66666666667)</f>
        <v>42873.66667</v>
      </c>
      <c r="I96" s="16">
        <f>IFERROR(__xludf.DUMMYFUNCTION("""COMPUTED_VALUE"""),62.61)</f>
        <v>62.61</v>
      </c>
      <c r="J96" s="7"/>
    </row>
    <row r="97">
      <c r="A97" s="7"/>
      <c r="B97" s="7"/>
      <c r="C97" s="7"/>
      <c r="D97" s="7"/>
      <c r="E97" s="7"/>
      <c r="F97" s="23"/>
      <c r="G97" s="7"/>
      <c r="H97" s="15">
        <f>IFERROR(__xludf.DUMMYFUNCTION("""COMPUTED_VALUE"""),42874.66666666667)</f>
        <v>42874.66667</v>
      </c>
      <c r="I97" s="16">
        <f>IFERROR(__xludf.DUMMYFUNCTION("""COMPUTED_VALUE"""),62.17)</f>
        <v>62.17</v>
      </c>
      <c r="J97" s="7"/>
    </row>
    <row r="98">
      <c r="A98" s="7"/>
      <c r="B98" s="7"/>
      <c r="C98" s="7"/>
      <c r="D98" s="7"/>
      <c r="E98" s="7"/>
      <c r="F98" s="23"/>
      <c r="G98" s="7"/>
      <c r="H98" s="15">
        <f>IFERROR(__xludf.DUMMYFUNCTION("""COMPUTED_VALUE"""),42877.66666666667)</f>
        <v>42877.66667</v>
      </c>
      <c r="I98" s="16">
        <f>IFERROR(__xludf.DUMMYFUNCTION("""COMPUTED_VALUE"""),62.07)</f>
        <v>62.07</v>
      </c>
      <c r="J98" s="7"/>
    </row>
    <row r="99">
      <c r="A99" s="7"/>
      <c r="B99" s="7"/>
      <c r="C99" s="7"/>
      <c r="D99" s="7"/>
      <c r="E99" s="7"/>
      <c r="F99" s="23"/>
      <c r="G99" s="7"/>
      <c r="H99" s="15">
        <f>IFERROR(__xludf.DUMMYFUNCTION("""COMPUTED_VALUE"""),42878.66666666667)</f>
        <v>42878.66667</v>
      </c>
      <c r="I99" s="16">
        <f>IFERROR(__xludf.DUMMYFUNCTION("""COMPUTED_VALUE"""),60.77)</f>
        <v>60.77</v>
      </c>
      <c r="J99" s="7"/>
    </row>
    <row r="100">
      <c r="A100" s="7"/>
      <c r="B100" s="7"/>
      <c r="C100" s="7"/>
      <c r="D100" s="7"/>
      <c r="E100" s="7"/>
      <c r="F100" s="23"/>
      <c r="G100" s="7"/>
      <c r="H100" s="15">
        <f>IFERROR(__xludf.DUMMYFUNCTION("""COMPUTED_VALUE"""),42879.66666666667)</f>
        <v>42879.66667</v>
      </c>
      <c r="I100" s="16">
        <f>IFERROR(__xludf.DUMMYFUNCTION("""COMPUTED_VALUE"""),62.04)</f>
        <v>62.04</v>
      </c>
      <c r="J100" s="7"/>
    </row>
    <row r="101">
      <c r="A101" s="7"/>
      <c r="B101" s="7"/>
      <c r="C101" s="7"/>
      <c r="D101" s="7"/>
      <c r="E101" s="7"/>
      <c r="F101" s="23"/>
      <c r="G101" s="7"/>
      <c r="H101" s="15">
        <f>IFERROR(__xludf.DUMMYFUNCTION("""COMPUTED_VALUE"""),42880.66666666667)</f>
        <v>42880.66667</v>
      </c>
      <c r="I101" s="16">
        <f>IFERROR(__xludf.DUMMYFUNCTION("""COMPUTED_VALUE"""),63.37)</f>
        <v>63.37</v>
      </c>
      <c r="J101" s="7"/>
    </row>
    <row r="102">
      <c r="A102" s="7"/>
      <c r="B102" s="7"/>
      <c r="C102" s="7"/>
      <c r="D102" s="7"/>
      <c r="E102" s="7"/>
      <c r="F102" s="23"/>
      <c r="G102" s="7"/>
      <c r="H102" s="15">
        <f>IFERROR(__xludf.DUMMYFUNCTION("""COMPUTED_VALUE"""),42881.66666666667)</f>
        <v>42881.66667</v>
      </c>
      <c r="I102" s="16">
        <f>IFERROR(__xludf.DUMMYFUNCTION("""COMPUTED_VALUE"""),65.03)</f>
        <v>65.03</v>
      </c>
      <c r="J102" s="7"/>
    </row>
    <row r="103">
      <c r="A103" s="7"/>
      <c r="B103" s="7"/>
      <c r="C103" s="7"/>
      <c r="D103" s="7"/>
      <c r="E103" s="7"/>
      <c r="F103" s="23"/>
      <c r="G103" s="7"/>
      <c r="H103" s="15">
        <f>IFERROR(__xludf.DUMMYFUNCTION("""COMPUTED_VALUE"""),42885.66666666667)</f>
        <v>42885.66667</v>
      </c>
      <c r="I103" s="16">
        <f>IFERROR(__xludf.DUMMYFUNCTION("""COMPUTED_VALUE"""),67.02)</f>
        <v>67.02</v>
      </c>
      <c r="J103" s="7"/>
    </row>
    <row r="104">
      <c r="A104" s="7"/>
      <c r="B104" s="7"/>
      <c r="C104" s="7"/>
      <c r="D104" s="7"/>
      <c r="E104" s="7"/>
      <c r="F104" s="23"/>
      <c r="G104" s="7"/>
      <c r="H104" s="15">
        <f>IFERROR(__xludf.DUMMYFUNCTION("""COMPUTED_VALUE"""),42886.66666666667)</f>
        <v>42886.66667</v>
      </c>
      <c r="I104" s="16">
        <f>IFERROR(__xludf.DUMMYFUNCTION("""COMPUTED_VALUE"""),68.2)</f>
        <v>68.2</v>
      </c>
      <c r="J104" s="7"/>
    </row>
    <row r="105">
      <c r="A105" s="7"/>
      <c r="B105" s="7"/>
      <c r="C105" s="7"/>
      <c r="D105" s="7"/>
      <c r="E105" s="7"/>
      <c r="F105" s="23"/>
      <c r="G105" s="7"/>
      <c r="H105" s="15">
        <f>IFERROR(__xludf.DUMMYFUNCTION("""COMPUTED_VALUE"""),42887.66666666667)</f>
        <v>42887.66667</v>
      </c>
      <c r="I105" s="16">
        <f>IFERROR(__xludf.DUMMYFUNCTION("""COMPUTED_VALUE"""),68.07)</f>
        <v>68.07</v>
      </c>
      <c r="J105" s="7"/>
    </row>
    <row r="106">
      <c r="A106" s="7"/>
      <c r="B106" s="7"/>
      <c r="C106" s="7"/>
      <c r="D106" s="7"/>
      <c r="E106" s="7"/>
      <c r="F106" s="23"/>
      <c r="G106" s="7"/>
      <c r="H106" s="15">
        <f>IFERROR(__xludf.DUMMYFUNCTION("""COMPUTED_VALUE"""),42888.66666666667)</f>
        <v>42888.66667</v>
      </c>
      <c r="I106" s="16">
        <f>IFERROR(__xludf.DUMMYFUNCTION("""COMPUTED_VALUE"""),67.97)</f>
        <v>67.97</v>
      </c>
      <c r="J106" s="7"/>
    </row>
    <row r="107">
      <c r="A107" s="7"/>
      <c r="B107" s="7"/>
      <c r="C107" s="7"/>
      <c r="D107" s="7"/>
      <c r="E107" s="7"/>
      <c r="F107" s="23"/>
      <c r="G107" s="7"/>
      <c r="H107" s="15">
        <f>IFERROR(__xludf.DUMMYFUNCTION("""COMPUTED_VALUE"""),42891.66666666667)</f>
        <v>42891.66667</v>
      </c>
      <c r="I107" s="16">
        <f>IFERROR(__xludf.DUMMYFUNCTION("""COMPUTED_VALUE"""),69.46)</f>
        <v>69.46</v>
      </c>
      <c r="J107" s="7"/>
    </row>
    <row r="108">
      <c r="A108" s="7"/>
      <c r="B108" s="7"/>
      <c r="C108" s="7"/>
      <c r="D108" s="7"/>
      <c r="E108" s="7"/>
      <c r="F108" s="23"/>
      <c r="G108" s="7"/>
      <c r="H108" s="15">
        <f>IFERROR(__xludf.DUMMYFUNCTION("""COMPUTED_VALUE"""),42892.66666666667)</f>
        <v>42892.66667</v>
      </c>
      <c r="I108" s="16">
        <f>IFERROR(__xludf.DUMMYFUNCTION("""COMPUTED_VALUE"""),70.57)</f>
        <v>70.57</v>
      </c>
      <c r="J108" s="7"/>
    </row>
    <row r="109">
      <c r="A109" s="7"/>
      <c r="B109" s="7"/>
      <c r="C109" s="7"/>
      <c r="D109" s="7"/>
      <c r="E109" s="7"/>
      <c r="F109" s="23"/>
      <c r="G109" s="7"/>
      <c r="H109" s="15">
        <f>IFERROR(__xludf.DUMMYFUNCTION("""COMPUTED_VALUE"""),42893.66666666667)</f>
        <v>42893.66667</v>
      </c>
      <c r="I109" s="16">
        <f>IFERROR(__xludf.DUMMYFUNCTION("""COMPUTED_VALUE"""),71.93)</f>
        <v>71.93</v>
      </c>
      <c r="J109" s="7"/>
    </row>
    <row r="110">
      <c r="A110" s="7"/>
      <c r="B110" s="7"/>
      <c r="C110" s="7"/>
      <c r="D110" s="7"/>
      <c r="E110" s="7"/>
      <c r="F110" s="23"/>
      <c r="G110" s="7"/>
      <c r="H110" s="15">
        <f>IFERROR(__xludf.DUMMYFUNCTION("""COMPUTED_VALUE"""),42894.66666666667)</f>
        <v>42894.66667</v>
      </c>
      <c r="I110" s="16">
        <f>IFERROR(__xludf.DUMMYFUNCTION("""COMPUTED_VALUE"""),74.0)</f>
        <v>74</v>
      </c>
      <c r="J110" s="7"/>
    </row>
    <row r="111">
      <c r="A111" s="7"/>
      <c r="B111" s="7"/>
      <c r="C111" s="7"/>
      <c r="D111" s="7"/>
      <c r="E111" s="7"/>
      <c r="F111" s="23"/>
      <c r="G111" s="7"/>
      <c r="H111" s="15">
        <f>IFERROR(__xludf.DUMMYFUNCTION("""COMPUTED_VALUE"""),42895.66666666667)</f>
        <v>42895.66667</v>
      </c>
      <c r="I111" s="16">
        <f>IFERROR(__xludf.DUMMYFUNCTION("""COMPUTED_VALUE"""),71.46)</f>
        <v>71.46</v>
      </c>
      <c r="J111" s="7"/>
    </row>
    <row r="112">
      <c r="A112" s="7"/>
      <c r="B112" s="7"/>
      <c r="C112" s="7"/>
      <c r="D112" s="7"/>
      <c r="E112" s="7"/>
      <c r="F112" s="23"/>
      <c r="G112" s="7"/>
      <c r="H112" s="15">
        <f>IFERROR(__xludf.DUMMYFUNCTION("""COMPUTED_VALUE"""),42898.66666666667)</f>
        <v>42898.66667</v>
      </c>
      <c r="I112" s="16">
        <f>IFERROR(__xludf.DUMMYFUNCTION("""COMPUTED_VALUE"""),71.8)</f>
        <v>71.8</v>
      </c>
      <c r="J112" s="7"/>
    </row>
    <row r="113">
      <c r="A113" s="7"/>
      <c r="B113" s="7"/>
      <c r="C113" s="7"/>
      <c r="D113" s="7"/>
      <c r="E113" s="7"/>
      <c r="F113" s="23"/>
      <c r="G113" s="7"/>
      <c r="H113" s="15">
        <f>IFERROR(__xludf.DUMMYFUNCTION("""COMPUTED_VALUE"""),42899.66666666667)</f>
        <v>42899.66667</v>
      </c>
      <c r="I113" s="16">
        <f>IFERROR(__xludf.DUMMYFUNCTION("""COMPUTED_VALUE"""),75.19)</f>
        <v>75.19</v>
      </c>
      <c r="J113" s="7"/>
    </row>
    <row r="114">
      <c r="A114" s="7"/>
      <c r="B114" s="7"/>
      <c r="C114" s="7"/>
      <c r="D114" s="7"/>
      <c r="E114" s="7"/>
      <c r="F114" s="23"/>
      <c r="G114" s="7"/>
      <c r="H114" s="15">
        <f>IFERROR(__xludf.DUMMYFUNCTION("""COMPUTED_VALUE"""),42900.66666666667)</f>
        <v>42900.66667</v>
      </c>
      <c r="I114" s="16">
        <f>IFERROR(__xludf.DUMMYFUNCTION("""COMPUTED_VALUE"""),76.13)</f>
        <v>76.13</v>
      </c>
      <c r="J114" s="7"/>
    </row>
    <row r="115">
      <c r="A115" s="7"/>
      <c r="B115" s="7"/>
      <c r="C115" s="7"/>
      <c r="D115" s="7"/>
      <c r="E115" s="7"/>
      <c r="F115" s="23"/>
      <c r="G115" s="7"/>
      <c r="H115" s="15">
        <f>IFERROR(__xludf.DUMMYFUNCTION("""COMPUTED_VALUE"""),42901.66666666667)</f>
        <v>42901.66667</v>
      </c>
      <c r="I115" s="16">
        <f>IFERROR(__xludf.DUMMYFUNCTION("""COMPUTED_VALUE"""),75.07)</f>
        <v>75.07</v>
      </c>
      <c r="J115" s="7"/>
    </row>
    <row r="116">
      <c r="A116" s="7"/>
      <c r="B116" s="7"/>
      <c r="C116" s="7"/>
      <c r="D116" s="7"/>
      <c r="E116" s="7"/>
      <c r="F116" s="23"/>
      <c r="G116" s="7"/>
      <c r="H116" s="15">
        <f>IFERROR(__xludf.DUMMYFUNCTION("""COMPUTED_VALUE"""),42902.66666666667)</f>
        <v>42902.66667</v>
      </c>
      <c r="I116" s="16">
        <f>IFERROR(__xludf.DUMMYFUNCTION("""COMPUTED_VALUE"""),74.28)</f>
        <v>74.28</v>
      </c>
      <c r="J116" s="7"/>
    </row>
    <row r="117">
      <c r="A117" s="7"/>
      <c r="B117" s="7"/>
      <c r="C117" s="7"/>
      <c r="D117" s="7"/>
      <c r="E117" s="7"/>
      <c r="F117" s="23"/>
      <c r="G117" s="7"/>
      <c r="H117" s="15">
        <f>IFERROR(__xludf.DUMMYFUNCTION("""COMPUTED_VALUE"""),42905.66666666667)</f>
        <v>42905.66667</v>
      </c>
      <c r="I117" s="16">
        <f>IFERROR(__xludf.DUMMYFUNCTION("""COMPUTED_VALUE"""),73.96)</f>
        <v>73.96</v>
      </c>
      <c r="J117" s="7"/>
    </row>
    <row r="118">
      <c r="A118" s="7"/>
      <c r="B118" s="7"/>
      <c r="C118" s="7"/>
      <c r="D118" s="7"/>
      <c r="E118" s="7"/>
      <c r="F118" s="23"/>
      <c r="G118" s="7"/>
      <c r="H118" s="15">
        <f>IFERROR(__xludf.DUMMYFUNCTION("""COMPUTED_VALUE"""),42906.66666666667)</f>
        <v>42906.66667</v>
      </c>
      <c r="I118" s="16">
        <f>IFERROR(__xludf.DUMMYFUNCTION("""COMPUTED_VALUE"""),74.45)</f>
        <v>74.45</v>
      </c>
      <c r="J118" s="7"/>
    </row>
    <row r="119">
      <c r="A119" s="7"/>
      <c r="B119" s="7"/>
      <c r="C119" s="7"/>
      <c r="D119" s="7"/>
      <c r="E119" s="7"/>
      <c r="F119" s="23"/>
      <c r="G119" s="7"/>
      <c r="H119" s="15">
        <f>IFERROR(__xludf.DUMMYFUNCTION("""COMPUTED_VALUE"""),42907.66666666667)</f>
        <v>42907.66667</v>
      </c>
      <c r="I119" s="16">
        <f>IFERROR(__xludf.DUMMYFUNCTION("""COMPUTED_VALUE"""),75.28)</f>
        <v>75.28</v>
      </c>
      <c r="J119" s="7"/>
    </row>
    <row r="120">
      <c r="A120" s="7"/>
      <c r="B120" s="7"/>
      <c r="C120" s="7"/>
      <c r="D120" s="7"/>
      <c r="E120" s="7"/>
      <c r="F120" s="23"/>
      <c r="G120" s="7"/>
      <c r="H120" s="15">
        <f>IFERROR(__xludf.DUMMYFUNCTION("""COMPUTED_VALUE"""),42908.66666666667)</f>
        <v>42908.66667</v>
      </c>
      <c r="I120" s="16">
        <f>IFERROR(__xludf.DUMMYFUNCTION("""COMPUTED_VALUE"""),76.52)</f>
        <v>76.52</v>
      </c>
      <c r="J120" s="7"/>
    </row>
    <row r="121">
      <c r="A121" s="7"/>
      <c r="B121" s="7"/>
      <c r="C121" s="7"/>
      <c r="D121" s="7"/>
      <c r="E121" s="7"/>
      <c r="F121" s="23"/>
      <c r="G121" s="7"/>
      <c r="H121" s="15">
        <f>IFERROR(__xludf.DUMMYFUNCTION("""COMPUTED_VALUE"""),42909.66666666667)</f>
        <v>42909.66667</v>
      </c>
      <c r="I121" s="16">
        <f>IFERROR(__xludf.DUMMYFUNCTION("""COMPUTED_VALUE"""),76.69)</f>
        <v>76.69</v>
      </c>
      <c r="J121" s="7"/>
    </row>
    <row r="122">
      <c r="A122" s="7"/>
      <c r="B122" s="7"/>
      <c r="C122" s="7"/>
      <c r="D122" s="7"/>
      <c r="E122" s="7"/>
      <c r="F122" s="23"/>
      <c r="G122" s="7"/>
      <c r="H122" s="15">
        <f>IFERROR(__xludf.DUMMYFUNCTION("""COMPUTED_VALUE"""),42912.66666666667)</f>
        <v>42912.66667</v>
      </c>
      <c r="I122" s="16">
        <f>IFERROR(__xludf.DUMMYFUNCTION("""COMPUTED_VALUE"""),75.5)</f>
        <v>75.5</v>
      </c>
      <c r="J122" s="7"/>
    </row>
    <row r="123">
      <c r="A123" s="7"/>
      <c r="B123" s="7"/>
      <c r="C123" s="7"/>
      <c r="D123" s="7"/>
      <c r="E123" s="7"/>
      <c r="F123" s="23"/>
      <c r="G123" s="7"/>
      <c r="H123" s="15">
        <f>IFERROR(__xludf.DUMMYFUNCTION("""COMPUTED_VALUE"""),42913.66666666667)</f>
        <v>42913.66667</v>
      </c>
      <c r="I123" s="16">
        <f>IFERROR(__xludf.DUMMYFUNCTION("""COMPUTED_VALUE"""),72.47)</f>
        <v>72.47</v>
      </c>
      <c r="J123" s="7"/>
    </row>
    <row r="124">
      <c r="A124" s="7"/>
      <c r="B124" s="7"/>
      <c r="C124" s="7"/>
      <c r="D124" s="7"/>
      <c r="E124" s="7"/>
      <c r="F124" s="23"/>
      <c r="G124" s="7"/>
      <c r="H124" s="15">
        <f>IFERROR(__xludf.DUMMYFUNCTION("""COMPUTED_VALUE"""),42914.66666666667)</f>
        <v>42914.66667</v>
      </c>
      <c r="I124" s="16">
        <f>IFERROR(__xludf.DUMMYFUNCTION("""COMPUTED_VALUE"""),74.25)</f>
        <v>74.25</v>
      </c>
      <c r="J124" s="7"/>
    </row>
    <row r="125">
      <c r="A125" s="7"/>
      <c r="B125" s="7"/>
      <c r="C125" s="7"/>
      <c r="D125" s="7"/>
      <c r="E125" s="7"/>
      <c r="F125" s="23"/>
      <c r="G125" s="7"/>
      <c r="H125" s="15">
        <f>IFERROR(__xludf.DUMMYFUNCTION("""COMPUTED_VALUE"""),42915.66666666667)</f>
        <v>42915.66667</v>
      </c>
      <c r="I125" s="16">
        <f>IFERROR(__xludf.DUMMYFUNCTION("""COMPUTED_VALUE"""),72.15)</f>
        <v>72.15</v>
      </c>
      <c r="J125" s="7"/>
    </row>
    <row r="126">
      <c r="A126" s="7"/>
      <c r="B126" s="7"/>
      <c r="C126" s="7"/>
      <c r="D126" s="7"/>
      <c r="E126" s="7"/>
      <c r="F126" s="23"/>
      <c r="G126" s="7"/>
      <c r="H126" s="15">
        <f>IFERROR(__xludf.DUMMYFUNCTION("""COMPUTED_VALUE"""),42916.66666666667)</f>
        <v>42916.66667</v>
      </c>
      <c r="I126" s="16">
        <f>IFERROR(__xludf.DUMMYFUNCTION("""COMPUTED_VALUE"""),72.32)</f>
        <v>72.32</v>
      </c>
      <c r="J126" s="7"/>
    </row>
    <row r="127">
      <c r="A127" s="7"/>
      <c r="B127" s="7"/>
      <c r="C127" s="7"/>
      <c r="D127" s="7"/>
      <c r="E127" s="7"/>
      <c r="F127" s="23"/>
      <c r="G127" s="7"/>
      <c r="H127" s="15">
        <f>IFERROR(__xludf.DUMMYFUNCTION("""COMPUTED_VALUE"""),42919.66666666667)</f>
        <v>42919.66667</v>
      </c>
      <c r="I127" s="16">
        <f>IFERROR(__xludf.DUMMYFUNCTION("""COMPUTED_VALUE"""),70.52)</f>
        <v>70.52</v>
      </c>
      <c r="J127" s="7"/>
    </row>
    <row r="128">
      <c r="A128" s="7"/>
      <c r="B128" s="7"/>
      <c r="C128" s="7"/>
      <c r="D128" s="7"/>
      <c r="E128" s="7"/>
      <c r="F128" s="23"/>
      <c r="G128" s="7"/>
      <c r="H128" s="15">
        <f>IFERROR(__xludf.DUMMYFUNCTION("""COMPUTED_VALUE"""),42921.66666666667)</f>
        <v>42921.66667</v>
      </c>
      <c r="I128" s="16">
        <f>IFERROR(__xludf.DUMMYFUNCTION("""COMPUTED_VALUE"""),65.42)</f>
        <v>65.42</v>
      </c>
      <c r="J128" s="7"/>
    </row>
    <row r="129">
      <c r="A129" s="7"/>
      <c r="B129" s="7"/>
      <c r="C129" s="7"/>
      <c r="D129" s="7"/>
      <c r="E129" s="7"/>
      <c r="F129" s="23"/>
      <c r="G129" s="7"/>
      <c r="H129" s="15">
        <f>IFERROR(__xludf.DUMMYFUNCTION("""COMPUTED_VALUE"""),42922.66666666667)</f>
        <v>42922.66667</v>
      </c>
      <c r="I129" s="16">
        <f>IFERROR(__xludf.DUMMYFUNCTION("""COMPUTED_VALUE"""),61.77)</f>
        <v>61.77</v>
      </c>
      <c r="J129" s="7"/>
    </row>
    <row r="130">
      <c r="A130" s="7"/>
      <c r="B130" s="7"/>
      <c r="C130" s="7"/>
      <c r="D130" s="7"/>
      <c r="E130" s="7"/>
      <c r="F130" s="23"/>
      <c r="G130" s="7"/>
      <c r="H130" s="15">
        <f>IFERROR(__xludf.DUMMYFUNCTION("""COMPUTED_VALUE"""),42923.66666666667)</f>
        <v>42923.66667</v>
      </c>
      <c r="I130" s="16">
        <f>IFERROR(__xludf.DUMMYFUNCTION("""COMPUTED_VALUE"""),62.64)</f>
        <v>62.64</v>
      </c>
      <c r="J130" s="7"/>
    </row>
    <row r="131">
      <c r="A131" s="7"/>
      <c r="B131" s="7"/>
      <c r="C131" s="7"/>
      <c r="D131" s="7"/>
      <c r="E131" s="7"/>
      <c r="F131" s="23"/>
      <c r="G131" s="7"/>
      <c r="H131" s="15">
        <f>IFERROR(__xludf.DUMMYFUNCTION("""COMPUTED_VALUE"""),42926.66666666667)</f>
        <v>42926.66667</v>
      </c>
      <c r="I131" s="16">
        <f>IFERROR(__xludf.DUMMYFUNCTION("""COMPUTED_VALUE"""),63.21)</f>
        <v>63.21</v>
      </c>
      <c r="J131" s="7"/>
    </row>
    <row r="132">
      <c r="A132" s="7"/>
      <c r="B132" s="7"/>
      <c r="C132" s="7"/>
      <c r="D132" s="7"/>
      <c r="E132" s="7"/>
      <c r="F132" s="23"/>
      <c r="G132" s="7"/>
      <c r="H132" s="15">
        <f>IFERROR(__xludf.DUMMYFUNCTION("""COMPUTED_VALUE"""),42927.66666666667)</f>
        <v>42927.66667</v>
      </c>
      <c r="I132" s="16">
        <f>IFERROR(__xludf.DUMMYFUNCTION("""COMPUTED_VALUE"""),65.44)</f>
        <v>65.44</v>
      </c>
      <c r="J132" s="7"/>
    </row>
    <row r="133">
      <c r="A133" s="7"/>
      <c r="B133" s="7"/>
      <c r="C133" s="7"/>
      <c r="D133" s="7"/>
      <c r="E133" s="7"/>
      <c r="F133" s="23"/>
      <c r="G133" s="7"/>
      <c r="H133" s="15">
        <f>IFERROR(__xludf.DUMMYFUNCTION("""COMPUTED_VALUE"""),42928.66666666667)</f>
        <v>42928.66667</v>
      </c>
      <c r="I133" s="16">
        <f>IFERROR(__xludf.DUMMYFUNCTION("""COMPUTED_VALUE"""),65.9)</f>
        <v>65.9</v>
      </c>
      <c r="J133" s="7"/>
    </row>
    <row r="134">
      <c r="A134" s="7"/>
      <c r="B134" s="7"/>
      <c r="C134" s="7"/>
      <c r="D134" s="7"/>
      <c r="E134" s="7"/>
      <c r="F134" s="23"/>
      <c r="G134" s="7"/>
      <c r="H134" s="15">
        <f>IFERROR(__xludf.DUMMYFUNCTION("""COMPUTED_VALUE"""),42929.66666666667)</f>
        <v>42929.66667</v>
      </c>
      <c r="I134" s="16">
        <f>IFERROR(__xludf.DUMMYFUNCTION("""COMPUTED_VALUE"""),64.68)</f>
        <v>64.68</v>
      </c>
      <c r="J134" s="7"/>
    </row>
    <row r="135">
      <c r="A135" s="7"/>
      <c r="B135" s="7"/>
      <c r="C135" s="7"/>
      <c r="D135" s="7"/>
      <c r="E135" s="7"/>
      <c r="F135" s="23"/>
      <c r="G135" s="7"/>
      <c r="H135" s="15">
        <f>IFERROR(__xludf.DUMMYFUNCTION("""COMPUTED_VALUE"""),42930.66666666667)</f>
        <v>42930.66667</v>
      </c>
      <c r="I135" s="16">
        <f>IFERROR(__xludf.DUMMYFUNCTION("""COMPUTED_VALUE"""),65.56)</f>
        <v>65.56</v>
      </c>
      <c r="J135" s="7"/>
    </row>
    <row r="136">
      <c r="A136" s="7"/>
      <c r="B136" s="7"/>
      <c r="C136" s="7"/>
      <c r="D136" s="7"/>
      <c r="E136" s="7"/>
      <c r="F136" s="23"/>
      <c r="G136" s="7"/>
      <c r="H136" s="15">
        <f>IFERROR(__xludf.DUMMYFUNCTION("""COMPUTED_VALUE"""),42933.66666666667)</f>
        <v>42933.66667</v>
      </c>
      <c r="I136" s="16">
        <f>IFERROR(__xludf.DUMMYFUNCTION("""COMPUTED_VALUE"""),63.91)</f>
        <v>63.91</v>
      </c>
      <c r="J136" s="7"/>
    </row>
    <row r="137">
      <c r="A137" s="7"/>
      <c r="B137" s="7"/>
      <c r="C137" s="7"/>
      <c r="D137" s="7"/>
      <c r="E137" s="7"/>
      <c r="F137" s="23"/>
      <c r="G137" s="7"/>
      <c r="H137" s="15">
        <f>IFERROR(__xludf.DUMMYFUNCTION("""COMPUTED_VALUE"""),42934.66666666667)</f>
        <v>42934.66667</v>
      </c>
      <c r="I137" s="16">
        <f>IFERROR(__xludf.DUMMYFUNCTION("""COMPUTED_VALUE"""),65.65)</f>
        <v>65.65</v>
      </c>
      <c r="J137" s="7"/>
    </row>
    <row r="138">
      <c r="A138" s="7"/>
      <c r="B138" s="7"/>
      <c r="C138" s="7"/>
      <c r="D138" s="7"/>
      <c r="E138" s="7"/>
      <c r="F138" s="23"/>
      <c r="G138" s="7"/>
      <c r="H138" s="15">
        <f>IFERROR(__xludf.DUMMYFUNCTION("""COMPUTED_VALUE"""),42935.66666666667)</f>
        <v>42935.66667</v>
      </c>
      <c r="I138" s="16">
        <f>IFERROR(__xludf.DUMMYFUNCTION("""COMPUTED_VALUE"""),65.05)</f>
        <v>65.05</v>
      </c>
      <c r="J138" s="7"/>
    </row>
    <row r="139">
      <c r="A139" s="7"/>
      <c r="B139" s="7"/>
      <c r="C139" s="7"/>
      <c r="D139" s="7"/>
      <c r="E139" s="7"/>
      <c r="F139" s="23"/>
      <c r="G139" s="7"/>
      <c r="H139" s="15">
        <f>IFERROR(__xludf.DUMMYFUNCTION("""COMPUTED_VALUE"""),42936.66666666667)</f>
        <v>42936.66667</v>
      </c>
      <c r="I139" s="16">
        <f>IFERROR(__xludf.DUMMYFUNCTION("""COMPUTED_VALUE"""),65.98)</f>
        <v>65.98</v>
      </c>
      <c r="J139" s="7"/>
    </row>
    <row r="140">
      <c r="A140" s="7"/>
      <c r="B140" s="7"/>
      <c r="C140" s="7"/>
      <c r="D140" s="7"/>
      <c r="E140" s="7"/>
      <c r="F140" s="23"/>
      <c r="G140" s="7"/>
      <c r="H140" s="15">
        <f>IFERROR(__xludf.DUMMYFUNCTION("""COMPUTED_VALUE"""),42937.66666666667)</f>
        <v>42937.66667</v>
      </c>
      <c r="I140" s="16">
        <f>IFERROR(__xludf.DUMMYFUNCTION("""COMPUTED_VALUE"""),65.68)</f>
        <v>65.68</v>
      </c>
      <c r="J140" s="7"/>
    </row>
    <row r="141">
      <c r="A141" s="7"/>
      <c r="B141" s="7"/>
      <c r="C141" s="7"/>
      <c r="D141" s="7"/>
      <c r="E141" s="7"/>
      <c r="F141" s="23"/>
      <c r="G141" s="7"/>
      <c r="H141" s="15">
        <f>IFERROR(__xludf.DUMMYFUNCTION("""COMPUTED_VALUE"""),42940.66666666667)</f>
        <v>42940.66667</v>
      </c>
      <c r="I141" s="16">
        <f>IFERROR(__xludf.DUMMYFUNCTION("""COMPUTED_VALUE"""),68.5)</f>
        <v>68.5</v>
      </c>
      <c r="J141" s="7"/>
    </row>
    <row r="142">
      <c r="A142" s="7"/>
      <c r="B142" s="7"/>
      <c r="C142" s="7"/>
      <c r="D142" s="7"/>
      <c r="E142" s="7"/>
      <c r="F142" s="23"/>
      <c r="G142" s="7"/>
      <c r="H142" s="15">
        <f>IFERROR(__xludf.DUMMYFUNCTION("""COMPUTED_VALUE"""),42941.66666666667)</f>
        <v>42941.66667</v>
      </c>
      <c r="I142" s="16">
        <f>IFERROR(__xludf.DUMMYFUNCTION("""COMPUTED_VALUE"""),67.92)</f>
        <v>67.92</v>
      </c>
      <c r="J142" s="7"/>
    </row>
    <row r="143">
      <c r="A143" s="7"/>
      <c r="B143" s="7"/>
      <c r="C143" s="7"/>
      <c r="D143" s="7"/>
      <c r="E143" s="7"/>
      <c r="F143" s="23"/>
      <c r="G143" s="7"/>
      <c r="H143" s="15">
        <f>IFERROR(__xludf.DUMMYFUNCTION("""COMPUTED_VALUE"""),42942.66666666667)</f>
        <v>42942.66667</v>
      </c>
      <c r="I143" s="16">
        <f>IFERROR(__xludf.DUMMYFUNCTION("""COMPUTED_VALUE"""),68.77)</f>
        <v>68.77</v>
      </c>
      <c r="J143" s="7"/>
    </row>
    <row r="144">
      <c r="A144" s="7"/>
      <c r="B144" s="7"/>
      <c r="C144" s="7"/>
      <c r="D144" s="7"/>
      <c r="E144" s="7"/>
      <c r="F144" s="23"/>
      <c r="G144" s="7"/>
      <c r="H144" s="15">
        <f>IFERROR(__xludf.DUMMYFUNCTION("""COMPUTED_VALUE"""),42943.66666666667)</f>
        <v>42943.66667</v>
      </c>
      <c r="I144" s="16">
        <f>IFERROR(__xludf.DUMMYFUNCTION("""COMPUTED_VALUE"""),66.89)</f>
        <v>66.89</v>
      </c>
      <c r="J144" s="7"/>
    </row>
    <row r="145">
      <c r="A145" s="7"/>
      <c r="B145" s="7"/>
      <c r="C145" s="7"/>
      <c r="D145" s="7"/>
      <c r="E145" s="7"/>
      <c r="F145" s="23"/>
      <c r="G145" s="7"/>
      <c r="H145" s="15">
        <f>IFERROR(__xludf.DUMMYFUNCTION("""COMPUTED_VALUE"""),42944.66666666667)</f>
        <v>42944.66667</v>
      </c>
      <c r="I145" s="16">
        <f>IFERROR(__xludf.DUMMYFUNCTION("""COMPUTED_VALUE"""),67.01)</f>
        <v>67.01</v>
      </c>
      <c r="J145" s="7"/>
    </row>
    <row r="146">
      <c r="A146" s="7"/>
      <c r="B146" s="7"/>
      <c r="C146" s="7"/>
      <c r="D146" s="7"/>
      <c r="E146" s="7"/>
      <c r="F146" s="23"/>
      <c r="G146" s="7"/>
      <c r="H146" s="15">
        <f>IFERROR(__xludf.DUMMYFUNCTION("""COMPUTED_VALUE"""),42947.66666666667)</f>
        <v>42947.66667</v>
      </c>
      <c r="I146" s="16">
        <f>IFERROR(__xludf.DUMMYFUNCTION("""COMPUTED_VALUE"""),64.69)</f>
        <v>64.69</v>
      </c>
      <c r="J146" s="7"/>
    </row>
    <row r="147">
      <c r="A147" s="7"/>
      <c r="B147" s="7"/>
      <c r="C147" s="7"/>
      <c r="D147" s="7"/>
      <c r="E147" s="7"/>
      <c r="F147" s="23"/>
      <c r="G147" s="7"/>
      <c r="H147" s="15">
        <f>IFERROR(__xludf.DUMMYFUNCTION("""COMPUTED_VALUE"""),42948.66666666667)</f>
        <v>42948.66667</v>
      </c>
      <c r="I147" s="16">
        <f>IFERROR(__xludf.DUMMYFUNCTION("""COMPUTED_VALUE"""),63.91)</f>
        <v>63.91</v>
      </c>
      <c r="J147" s="7"/>
    </row>
    <row r="148">
      <c r="A148" s="7"/>
      <c r="B148" s="7"/>
      <c r="C148" s="7"/>
      <c r="D148" s="7"/>
      <c r="E148" s="7"/>
      <c r="F148" s="23"/>
      <c r="G148" s="7"/>
      <c r="H148" s="15">
        <f>IFERROR(__xludf.DUMMYFUNCTION("""COMPUTED_VALUE"""),42949.66666666667)</f>
        <v>42949.66667</v>
      </c>
      <c r="I148" s="16">
        <f>IFERROR(__xludf.DUMMYFUNCTION("""COMPUTED_VALUE"""),65.18)</f>
        <v>65.18</v>
      </c>
      <c r="J148" s="7"/>
    </row>
    <row r="149">
      <c r="A149" s="7"/>
      <c r="B149" s="7"/>
      <c r="C149" s="7"/>
      <c r="D149" s="7"/>
      <c r="E149" s="7"/>
      <c r="F149" s="23"/>
      <c r="G149" s="7"/>
      <c r="H149" s="15">
        <f>IFERROR(__xludf.DUMMYFUNCTION("""COMPUTED_VALUE"""),42950.66666666667)</f>
        <v>42950.66667</v>
      </c>
      <c r="I149" s="16">
        <f>IFERROR(__xludf.DUMMYFUNCTION("""COMPUTED_VALUE"""),69.42)</f>
        <v>69.42</v>
      </c>
      <c r="J149" s="7"/>
    </row>
    <row r="150">
      <c r="A150" s="7"/>
      <c r="B150" s="7"/>
      <c r="C150" s="7"/>
      <c r="D150" s="7"/>
      <c r="E150" s="7"/>
      <c r="F150" s="23"/>
      <c r="G150" s="7"/>
      <c r="H150" s="15">
        <f>IFERROR(__xludf.DUMMYFUNCTION("""COMPUTED_VALUE"""),42951.66666666667)</f>
        <v>42951.66667</v>
      </c>
      <c r="I150" s="16">
        <f>IFERROR(__xludf.DUMMYFUNCTION("""COMPUTED_VALUE"""),71.38)</f>
        <v>71.38</v>
      </c>
      <c r="J150" s="7"/>
    </row>
    <row r="151">
      <c r="A151" s="7"/>
      <c r="B151" s="7"/>
      <c r="C151" s="7"/>
      <c r="D151" s="7"/>
      <c r="E151" s="7"/>
      <c r="F151" s="23"/>
      <c r="G151" s="7"/>
      <c r="H151" s="15">
        <f>IFERROR(__xludf.DUMMYFUNCTION("""COMPUTED_VALUE"""),42954.66666666667)</f>
        <v>42954.66667</v>
      </c>
      <c r="I151" s="16">
        <f>IFERROR(__xludf.DUMMYFUNCTION("""COMPUTED_VALUE"""),71.03)</f>
        <v>71.03</v>
      </c>
      <c r="J151" s="7"/>
    </row>
    <row r="152">
      <c r="A152" s="7"/>
      <c r="B152" s="7"/>
      <c r="C152" s="7"/>
      <c r="D152" s="7"/>
      <c r="E152" s="7"/>
      <c r="F152" s="23"/>
      <c r="G152" s="7"/>
      <c r="H152" s="15">
        <f>IFERROR(__xludf.DUMMYFUNCTION("""COMPUTED_VALUE"""),42955.66666666667)</f>
        <v>42955.66667</v>
      </c>
      <c r="I152" s="16">
        <f>IFERROR(__xludf.DUMMYFUNCTION("""COMPUTED_VALUE"""),73.04)</f>
        <v>73.04</v>
      </c>
      <c r="J152" s="7"/>
    </row>
    <row r="153">
      <c r="A153" s="7"/>
      <c r="B153" s="7"/>
      <c r="C153" s="7"/>
      <c r="D153" s="7"/>
      <c r="E153" s="7"/>
      <c r="F153" s="23"/>
      <c r="G153" s="7"/>
      <c r="H153" s="15">
        <f>IFERROR(__xludf.DUMMYFUNCTION("""COMPUTED_VALUE"""),42956.66666666667)</f>
        <v>42956.66667</v>
      </c>
      <c r="I153" s="16">
        <f>IFERROR(__xludf.DUMMYFUNCTION("""COMPUTED_VALUE"""),72.71)</f>
        <v>72.71</v>
      </c>
      <c r="J153" s="7"/>
    </row>
    <row r="154">
      <c r="A154" s="7"/>
      <c r="B154" s="7"/>
      <c r="C154" s="7"/>
      <c r="D154" s="7"/>
      <c r="E154" s="7"/>
      <c r="F154" s="23"/>
      <c r="G154" s="7"/>
      <c r="H154" s="15">
        <f>IFERROR(__xludf.DUMMYFUNCTION("""COMPUTED_VALUE"""),42957.66666666667)</f>
        <v>42957.66667</v>
      </c>
      <c r="I154" s="16">
        <f>IFERROR(__xludf.DUMMYFUNCTION("""COMPUTED_VALUE"""),71.08)</f>
        <v>71.08</v>
      </c>
      <c r="J154" s="7"/>
    </row>
    <row r="155">
      <c r="A155" s="7"/>
      <c r="B155" s="7"/>
      <c r="C155" s="7"/>
      <c r="D155" s="7"/>
      <c r="E155" s="7"/>
      <c r="F155" s="23"/>
      <c r="G155" s="7"/>
      <c r="H155" s="15">
        <f>IFERROR(__xludf.DUMMYFUNCTION("""COMPUTED_VALUE"""),42958.66666666667)</f>
        <v>42958.66667</v>
      </c>
      <c r="I155" s="16">
        <f>IFERROR(__xludf.DUMMYFUNCTION("""COMPUTED_VALUE"""),71.57)</f>
        <v>71.57</v>
      </c>
      <c r="J155" s="7"/>
    </row>
    <row r="156">
      <c r="A156" s="7"/>
      <c r="B156" s="7"/>
      <c r="C156" s="7"/>
      <c r="D156" s="7"/>
      <c r="E156" s="7"/>
      <c r="F156" s="23"/>
      <c r="G156" s="7"/>
      <c r="H156" s="15">
        <f>IFERROR(__xludf.DUMMYFUNCTION("""COMPUTED_VALUE"""),42961.66666666667)</f>
        <v>42961.66667</v>
      </c>
      <c r="I156" s="16">
        <f>IFERROR(__xludf.DUMMYFUNCTION("""COMPUTED_VALUE"""),72.76)</f>
        <v>72.76</v>
      </c>
      <c r="J156" s="7"/>
    </row>
    <row r="157">
      <c r="A157" s="7"/>
      <c r="B157" s="7"/>
      <c r="C157" s="7"/>
      <c r="D157" s="7"/>
      <c r="E157" s="7"/>
      <c r="F157" s="23"/>
      <c r="G157" s="7"/>
      <c r="H157" s="15">
        <f>IFERROR(__xludf.DUMMYFUNCTION("""COMPUTED_VALUE"""),42962.66666666667)</f>
        <v>42962.66667</v>
      </c>
      <c r="I157" s="16">
        <f>IFERROR(__xludf.DUMMYFUNCTION("""COMPUTED_VALUE"""),72.47)</f>
        <v>72.47</v>
      </c>
      <c r="J157" s="7"/>
    </row>
    <row r="158">
      <c r="A158" s="7"/>
      <c r="B158" s="7"/>
      <c r="C158" s="7"/>
      <c r="D158" s="7"/>
      <c r="E158" s="7"/>
      <c r="F158" s="23"/>
      <c r="G158" s="7"/>
      <c r="H158" s="15">
        <f>IFERROR(__xludf.DUMMYFUNCTION("""COMPUTED_VALUE"""),42963.66666666667)</f>
        <v>42963.66667</v>
      </c>
      <c r="I158" s="16">
        <f>IFERROR(__xludf.DUMMYFUNCTION("""COMPUTED_VALUE"""),72.58)</f>
        <v>72.58</v>
      </c>
      <c r="J158" s="7"/>
    </row>
    <row r="159">
      <c r="A159" s="7"/>
      <c r="B159" s="7"/>
      <c r="C159" s="7"/>
      <c r="D159" s="7"/>
      <c r="E159" s="7"/>
      <c r="F159" s="23"/>
      <c r="G159" s="7"/>
      <c r="H159" s="15">
        <f>IFERROR(__xludf.DUMMYFUNCTION("""COMPUTED_VALUE"""),42964.66666666667)</f>
        <v>42964.66667</v>
      </c>
      <c r="I159" s="16">
        <f>IFERROR(__xludf.DUMMYFUNCTION("""COMPUTED_VALUE"""),70.38)</f>
        <v>70.38</v>
      </c>
      <c r="J159" s="7"/>
    </row>
    <row r="160">
      <c r="A160" s="7"/>
      <c r="B160" s="7"/>
      <c r="C160" s="7"/>
      <c r="D160" s="7"/>
      <c r="E160" s="7"/>
      <c r="F160" s="23"/>
      <c r="G160" s="7"/>
      <c r="H160" s="15">
        <f>IFERROR(__xludf.DUMMYFUNCTION("""COMPUTED_VALUE"""),42965.66666666667)</f>
        <v>42965.66667</v>
      </c>
      <c r="I160" s="16">
        <f>IFERROR(__xludf.DUMMYFUNCTION("""COMPUTED_VALUE"""),69.49)</f>
        <v>69.49</v>
      </c>
      <c r="J160" s="7"/>
    </row>
    <row r="161">
      <c r="A161" s="7"/>
      <c r="B161" s="7"/>
      <c r="C161" s="7"/>
      <c r="D161" s="7"/>
      <c r="E161" s="7"/>
      <c r="F161" s="23"/>
      <c r="G161" s="7"/>
      <c r="H161" s="15">
        <f>IFERROR(__xludf.DUMMYFUNCTION("""COMPUTED_VALUE"""),42968.66666666667)</f>
        <v>42968.66667</v>
      </c>
      <c r="I161" s="16">
        <f>IFERROR(__xludf.DUMMYFUNCTION("""COMPUTED_VALUE"""),67.57)</f>
        <v>67.57</v>
      </c>
      <c r="J161" s="7"/>
    </row>
    <row r="162">
      <c r="A162" s="7"/>
      <c r="B162" s="7"/>
      <c r="C162" s="7"/>
      <c r="D162" s="7"/>
      <c r="E162" s="7"/>
      <c r="F162" s="23"/>
      <c r="G162" s="7"/>
      <c r="H162" s="15">
        <f>IFERROR(__xludf.DUMMYFUNCTION("""COMPUTED_VALUE"""),42969.66666666667)</f>
        <v>42969.66667</v>
      </c>
      <c r="I162" s="16">
        <f>IFERROR(__xludf.DUMMYFUNCTION("""COMPUTED_VALUE"""),68.27)</f>
        <v>68.27</v>
      </c>
      <c r="J162" s="7"/>
    </row>
    <row r="163">
      <c r="A163" s="7"/>
      <c r="B163" s="7"/>
      <c r="C163" s="7"/>
      <c r="D163" s="7"/>
      <c r="E163" s="7"/>
      <c r="F163" s="23"/>
      <c r="G163" s="7"/>
      <c r="H163" s="15">
        <f>IFERROR(__xludf.DUMMYFUNCTION("""COMPUTED_VALUE"""),42970.66666666667)</f>
        <v>42970.66667</v>
      </c>
      <c r="I163" s="16">
        <f>IFERROR(__xludf.DUMMYFUNCTION("""COMPUTED_VALUE"""),70.55)</f>
        <v>70.55</v>
      </c>
      <c r="J163" s="7"/>
    </row>
    <row r="164">
      <c r="A164" s="7"/>
      <c r="B164" s="7"/>
      <c r="C164" s="7"/>
      <c r="D164" s="7"/>
      <c r="E164" s="7"/>
      <c r="F164" s="23"/>
      <c r="G164" s="7"/>
      <c r="H164" s="15">
        <f>IFERROR(__xludf.DUMMYFUNCTION("""COMPUTED_VALUE"""),42971.66666666667)</f>
        <v>42971.66667</v>
      </c>
      <c r="I164" s="16">
        <f>IFERROR(__xludf.DUMMYFUNCTION("""COMPUTED_VALUE"""),70.59)</f>
        <v>70.59</v>
      </c>
      <c r="J164" s="7"/>
    </row>
    <row r="165">
      <c r="A165" s="7"/>
      <c r="B165" s="7"/>
      <c r="C165" s="7"/>
      <c r="D165" s="7"/>
      <c r="E165" s="7"/>
      <c r="F165" s="23"/>
      <c r="G165" s="7"/>
      <c r="H165" s="15">
        <f>IFERROR(__xludf.DUMMYFUNCTION("""COMPUTED_VALUE"""),42972.66666666667)</f>
        <v>42972.66667</v>
      </c>
      <c r="I165" s="16">
        <f>IFERROR(__xludf.DUMMYFUNCTION("""COMPUTED_VALUE"""),69.61)</f>
        <v>69.61</v>
      </c>
      <c r="J165" s="7"/>
    </row>
    <row r="166">
      <c r="A166" s="7"/>
      <c r="B166" s="7"/>
      <c r="C166" s="7"/>
      <c r="D166" s="7"/>
      <c r="E166" s="7"/>
      <c r="F166" s="23"/>
      <c r="G166" s="7"/>
      <c r="H166" s="15">
        <f>IFERROR(__xludf.DUMMYFUNCTION("""COMPUTED_VALUE"""),42975.66666666667)</f>
        <v>42975.66667</v>
      </c>
      <c r="I166" s="16">
        <f>IFERROR(__xludf.DUMMYFUNCTION("""COMPUTED_VALUE"""),69.13)</f>
        <v>69.13</v>
      </c>
      <c r="J166" s="7"/>
    </row>
    <row r="167">
      <c r="A167" s="7"/>
      <c r="B167" s="7"/>
      <c r="C167" s="7"/>
      <c r="D167" s="7"/>
      <c r="E167" s="7"/>
      <c r="F167" s="23"/>
      <c r="G167" s="7"/>
      <c r="H167" s="15">
        <f>IFERROR(__xludf.DUMMYFUNCTION("""COMPUTED_VALUE"""),42976.66666666667)</f>
        <v>42976.66667</v>
      </c>
      <c r="I167" s="16">
        <f>IFERROR(__xludf.DUMMYFUNCTION("""COMPUTED_VALUE"""),69.47)</f>
        <v>69.47</v>
      </c>
      <c r="J167" s="7"/>
    </row>
    <row r="168">
      <c r="A168" s="7"/>
      <c r="B168" s="7"/>
      <c r="C168" s="7"/>
      <c r="D168" s="7"/>
      <c r="E168" s="7"/>
      <c r="F168" s="23"/>
      <c r="G168" s="7"/>
      <c r="H168" s="15">
        <f>IFERROR(__xludf.DUMMYFUNCTION("""COMPUTED_VALUE"""),42977.66666666667)</f>
        <v>42977.66667</v>
      </c>
      <c r="I168" s="16">
        <f>IFERROR(__xludf.DUMMYFUNCTION("""COMPUTED_VALUE"""),70.64)</f>
        <v>70.64</v>
      </c>
      <c r="J168" s="7"/>
    </row>
    <row r="169">
      <c r="A169" s="7"/>
      <c r="B169" s="7"/>
      <c r="C169" s="7"/>
      <c r="D169" s="7"/>
      <c r="E169" s="7"/>
      <c r="F169" s="23"/>
      <c r="G169" s="7"/>
      <c r="H169" s="15">
        <f>IFERROR(__xludf.DUMMYFUNCTION("""COMPUTED_VALUE"""),42978.66666666667)</f>
        <v>42978.66667</v>
      </c>
      <c r="I169" s="16">
        <f>IFERROR(__xludf.DUMMYFUNCTION("""COMPUTED_VALUE"""),71.18)</f>
        <v>71.18</v>
      </c>
      <c r="J169" s="7"/>
    </row>
    <row r="170">
      <c r="A170" s="7"/>
      <c r="B170" s="7"/>
      <c r="C170" s="7"/>
      <c r="D170" s="7"/>
      <c r="E170" s="7"/>
      <c r="F170" s="23"/>
      <c r="G170" s="7"/>
      <c r="H170" s="15">
        <f>IFERROR(__xludf.DUMMYFUNCTION("""COMPUTED_VALUE"""),42979.66666666667)</f>
        <v>42979.66667</v>
      </c>
      <c r="I170" s="16">
        <f>IFERROR(__xludf.DUMMYFUNCTION("""COMPUTED_VALUE"""),71.08)</f>
        <v>71.08</v>
      </c>
      <c r="J170" s="7"/>
    </row>
    <row r="171">
      <c r="A171" s="7"/>
      <c r="B171" s="7"/>
      <c r="C171" s="7"/>
      <c r="D171" s="7"/>
      <c r="E171" s="7"/>
      <c r="F171" s="23"/>
      <c r="G171" s="7"/>
      <c r="H171" s="15">
        <f>IFERROR(__xludf.DUMMYFUNCTION("""COMPUTED_VALUE"""),42983.66666666667)</f>
        <v>42983.66667</v>
      </c>
      <c r="I171" s="16">
        <f>IFERROR(__xludf.DUMMYFUNCTION("""COMPUTED_VALUE"""),69.92)</f>
        <v>69.92</v>
      </c>
      <c r="J171" s="7"/>
    </row>
    <row r="172">
      <c r="A172" s="7"/>
      <c r="B172" s="7"/>
      <c r="C172" s="7"/>
      <c r="D172" s="7"/>
      <c r="E172" s="7"/>
      <c r="F172" s="23"/>
      <c r="G172" s="7"/>
      <c r="H172" s="15">
        <f>IFERROR(__xludf.DUMMYFUNCTION("""COMPUTED_VALUE"""),42984.66666666667)</f>
        <v>42984.66667</v>
      </c>
      <c r="I172" s="16">
        <f>IFERROR(__xludf.DUMMYFUNCTION("""COMPUTED_VALUE"""),68.91)</f>
        <v>68.91</v>
      </c>
      <c r="J172" s="7"/>
    </row>
    <row r="173">
      <c r="A173" s="7"/>
      <c r="B173" s="7"/>
      <c r="C173" s="7"/>
      <c r="D173" s="7"/>
      <c r="E173" s="7"/>
      <c r="F173" s="23"/>
      <c r="G173" s="7"/>
      <c r="H173" s="15">
        <f>IFERROR(__xludf.DUMMYFUNCTION("""COMPUTED_VALUE"""),42985.66666666667)</f>
        <v>42985.66667</v>
      </c>
      <c r="I173" s="16">
        <f>IFERROR(__xludf.DUMMYFUNCTION("""COMPUTED_VALUE"""),70.12)</f>
        <v>70.12</v>
      </c>
      <c r="J173" s="7"/>
    </row>
    <row r="174">
      <c r="A174" s="7"/>
      <c r="B174" s="7"/>
      <c r="C174" s="7"/>
      <c r="D174" s="7"/>
      <c r="E174" s="7"/>
      <c r="F174" s="23"/>
      <c r="G174" s="7"/>
      <c r="H174" s="15">
        <f>IFERROR(__xludf.DUMMYFUNCTION("""COMPUTED_VALUE"""),42986.66666666667)</f>
        <v>42986.66667</v>
      </c>
      <c r="I174" s="16">
        <f>IFERROR(__xludf.DUMMYFUNCTION("""COMPUTED_VALUE"""),68.68)</f>
        <v>68.68</v>
      </c>
      <c r="J174" s="7"/>
    </row>
    <row r="175">
      <c r="A175" s="7"/>
      <c r="B175" s="7"/>
      <c r="C175" s="7"/>
      <c r="D175" s="7"/>
      <c r="E175" s="7"/>
      <c r="F175" s="23"/>
      <c r="G175" s="7"/>
      <c r="H175" s="15">
        <f>IFERROR(__xludf.DUMMYFUNCTION("""COMPUTED_VALUE"""),42989.66666666667)</f>
        <v>42989.66667</v>
      </c>
      <c r="I175" s="16">
        <f>IFERROR(__xludf.DUMMYFUNCTION("""COMPUTED_VALUE"""),72.74)</f>
        <v>72.74</v>
      </c>
      <c r="J175" s="7"/>
    </row>
    <row r="176">
      <c r="A176" s="7"/>
      <c r="B176" s="7"/>
      <c r="C176" s="7"/>
      <c r="D176" s="7"/>
      <c r="E176" s="7"/>
      <c r="F176" s="23"/>
      <c r="G176" s="7"/>
      <c r="H176" s="15">
        <f>IFERROR(__xludf.DUMMYFUNCTION("""COMPUTED_VALUE"""),42990.66666666667)</f>
        <v>42990.66667</v>
      </c>
      <c r="I176" s="16">
        <f>IFERROR(__xludf.DUMMYFUNCTION("""COMPUTED_VALUE"""),72.55)</f>
        <v>72.55</v>
      </c>
      <c r="J176" s="7"/>
    </row>
    <row r="177">
      <c r="A177" s="7"/>
      <c r="B177" s="7"/>
      <c r="C177" s="7"/>
      <c r="D177" s="7"/>
      <c r="E177" s="7"/>
      <c r="F177" s="23"/>
      <c r="G177" s="7"/>
      <c r="H177" s="15">
        <f>IFERROR(__xludf.DUMMYFUNCTION("""COMPUTED_VALUE"""),42991.66666666667)</f>
        <v>42991.66667</v>
      </c>
      <c r="I177" s="16">
        <f>IFERROR(__xludf.DUMMYFUNCTION("""COMPUTED_VALUE"""),73.25)</f>
        <v>73.25</v>
      </c>
      <c r="J177" s="7"/>
    </row>
    <row r="178">
      <c r="A178" s="7"/>
      <c r="B178" s="7"/>
      <c r="C178" s="7"/>
      <c r="D178" s="7"/>
      <c r="E178" s="7"/>
      <c r="F178" s="23"/>
      <c r="G178" s="7"/>
      <c r="H178" s="15">
        <f>IFERROR(__xludf.DUMMYFUNCTION("""COMPUTED_VALUE"""),42992.66666666667)</f>
        <v>42992.66667</v>
      </c>
      <c r="I178" s="16">
        <f>IFERROR(__xludf.DUMMYFUNCTION("""COMPUTED_VALUE"""),75.53)</f>
        <v>75.53</v>
      </c>
      <c r="J178" s="7"/>
    </row>
    <row r="179">
      <c r="A179" s="7"/>
      <c r="B179" s="7"/>
      <c r="C179" s="7"/>
      <c r="D179" s="7"/>
      <c r="E179" s="7"/>
      <c r="F179" s="23"/>
      <c r="G179" s="7"/>
      <c r="H179" s="15">
        <f>IFERROR(__xludf.DUMMYFUNCTION("""COMPUTED_VALUE"""),42993.66666666667)</f>
        <v>42993.66667</v>
      </c>
      <c r="I179" s="16">
        <f>IFERROR(__xludf.DUMMYFUNCTION("""COMPUTED_VALUE"""),75.96)</f>
        <v>75.96</v>
      </c>
      <c r="J179" s="7"/>
    </row>
    <row r="180">
      <c r="A180" s="7"/>
      <c r="B180" s="7"/>
      <c r="C180" s="7"/>
      <c r="D180" s="7"/>
      <c r="E180" s="7"/>
      <c r="F180" s="23"/>
      <c r="G180" s="7"/>
      <c r="H180" s="15">
        <f>IFERROR(__xludf.DUMMYFUNCTION("""COMPUTED_VALUE"""),42996.66666666667)</f>
        <v>42996.66667</v>
      </c>
      <c r="I180" s="16">
        <f>IFERROR(__xludf.DUMMYFUNCTION("""COMPUTED_VALUE"""),77.0)</f>
        <v>77</v>
      </c>
      <c r="J180" s="7"/>
    </row>
    <row r="181">
      <c r="A181" s="7"/>
      <c r="B181" s="7"/>
      <c r="C181" s="7"/>
      <c r="D181" s="7"/>
      <c r="E181" s="7"/>
      <c r="F181" s="23"/>
      <c r="G181" s="7"/>
      <c r="H181" s="15">
        <f>IFERROR(__xludf.DUMMYFUNCTION("""COMPUTED_VALUE"""),42997.66666666667)</f>
        <v>42997.66667</v>
      </c>
      <c r="I181" s="16">
        <f>IFERROR(__xludf.DUMMYFUNCTION("""COMPUTED_VALUE"""),75.02)</f>
        <v>75.02</v>
      </c>
      <c r="J181" s="7"/>
    </row>
    <row r="182">
      <c r="A182" s="7"/>
      <c r="B182" s="7"/>
      <c r="C182" s="7"/>
      <c r="D182" s="7"/>
      <c r="E182" s="7"/>
      <c r="F182" s="23"/>
      <c r="G182" s="7"/>
      <c r="H182" s="15">
        <f>IFERROR(__xludf.DUMMYFUNCTION("""COMPUTED_VALUE"""),42998.66666666667)</f>
        <v>42998.66667</v>
      </c>
      <c r="I182" s="16">
        <f>IFERROR(__xludf.DUMMYFUNCTION("""COMPUTED_VALUE"""),74.78)</f>
        <v>74.78</v>
      </c>
      <c r="J182" s="7"/>
    </row>
    <row r="183">
      <c r="A183" s="7"/>
      <c r="B183" s="7"/>
      <c r="C183" s="7"/>
      <c r="D183" s="7"/>
      <c r="E183" s="7"/>
      <c r="F183" s="23"/>
      <c r="G183" s="7"/>
      <c r="H183" s="15">
        <f>IFERROR(__xludf.DUMMYFUNCTION("""COMPUTED_VALUE"""),42999.66666666667)</f>
        <v>42999.66667</v>
      </c>
      <c r="I183" s="16">
        <f>IFERROR(__xludf.DUMMYFUNCTION("""COMPUTED_VALUE"""),73.3)</f>
        <v>73.3</v>
      </c>
      <c r="J183" s="7"/>
    </row>
    <row r="184">
      <c r="A184" s="7"/>
      <c r="B184" s="7"/>
      <c r="C184" s="7"/>
      <c r="D184" s="7"/>
      <c r="E184" s="7"/>
      <c r="F184" s="23"/>
      <c r="G184" s="7"/>
      <c r="H184" s="15">
        <f>IFERROR(__xludf.DUMMYFUNCTION("""COMPUTED_VALUE"""),43000.66666666667)</f>
        <v>43000.66667</v>
      </c>
      <c r="I184" s="16">
        <f>IFERROR(__xludf.DUMMYFUNCTION("""COMPUTED_VALUE"""),70.22)</f>
        <v>70.22</v>
      </c>
      <c r="J184" s="7"/>
    </row>
    <row r="185">
      <c r="A185" s="7"/>
      <c r="B185" s="7"/>
      <c r="C185" s="7"/>
      <c r="D185" s="7"/>
      <c r="E185" s="7"/>
      <c r="F185" s="23"/>
      <c r="G185" s="7"/>
      <c r="H185" s="15">
        <f>IFERROR(__xludf.DUMMYFUNCTION("""COMPUTED_VALUE"""),43003.66666666667)</f>
        <v>43003.66667</v>
      </c>
      <c r="I185" s="16">
        <f>IFERROR(__xludf.DUMMYFUNCTION("""COMPUTED_VALUE"""),69.0)</f>
        <v>69</v>
      </c>
      <c r="J185" s="7"/>
    </row>
    <row r="186">
      <c r="A186" s="7"/>
      <c r="B186" s="7"/>
      <c r="C186" s="7"/>
      <c r="D186" s="7"/>
      <c r="E186" s="7"/>
      <c r="F186" s="23"/>
      <c r="G186" s="7"/>
      <c r="H186" s="15">
        <f>IFERROR(__xludf.DUMMYFUNCTION("""COMPUTED_VALUE"""),43004.66666666667)</f>
        <v>43004.66667</v>
      </c>
      <c r="I186" s="16">
        <f>IFERROR(__xludf.DUMMYFUNCTION("""COMPUTED_VALUE"""),69.05)</f>
        <v>69.05</v>
      </c>
      <c r="J186" s="7"/>
    </row>
    <row r="187">
      <c r="A187" s="7"/>
      <c r="B187" s="7"/>
      <c r="C187" s="7"/>
      <c r="D187" s="7"/>
      <c r="E187" s="7"/>
      <c r="F187" s="23"/>
      <c r="G187" s="7"/>
      <c r="H187" s="15">
        <f>IFERROR(__xludf.DUMMYFUNCTION("""COMPUTED_VALUE"""),43005.66666666667)</f>
        <v>43005.66667</v>
      </c>
      <c r="I187" s="16">
        <f>IFERROR(__xludf.DUMMYFUNCTION("""COMPUTED_VALUE"""),68.19)</f>
        <v>68.19</v>
      </c>
      <c r="J187" s="7"/>
    </row>
    <row r="188">
      <c r="A188" s="7"/>
      <c r="B188" s="7"/>
      <c r="C188" s="7"/>
      <c r="D188" s="7"/>
      <c r="E188" s="7"/>
      <c r="F188" s="23"/>
      <c r="G188" s="7"/>
      <c r="H188" s="15">
        <f>IFERROR(__xludf.DUMMYFUNCTION("""COMPUTED_VALUE"""),43006.66666666667)</f>
        <v>43006.66667</v>
      </c>
      <c r="I188" s="16">
        <f>IFERROR(__xludf.DUMMYFUNCTION("""COMPUTED_VALUE"""),67.92)</f>
        <v>67.92</v>
      </c>
      <c r="J188" s="7"/>
    </row>
    <row r="189">
      <c r="A189" s="7"/>
      <c r="B189" s="7"/>
      <c r="C189" s="7"/>
      <c r="D189" s="7"/>
      <c r="E189" s="7"/>
      <c r="F189" s="23"/>
      <c r="G189" s="7"/>
      <c r="H189" s="15">
        <f>IFERROR(__xludf.DUMMYFUNCTION("""COMPUTED_VALUE"""),43007.66666666667)</f>
        <v>43007.66667</v>
      </c>
      <c r="I189" s="16">
        <f>IFERROR(__xludf.DUMMYFUNCTION("""COMPUTED_VALUE"""),68.22)</f>
        <v>68.22</v>
      </c>
      <c r="J189" s="7"/>
    </row>
    <row r="190">
      <c r="A190" s="7"/>
      <c r="B190" s="7"/>
      <c r="C190" s="7"/>
      <c r="D190" s="7"/>
      <c r="E190" s="7"/>
      <c r="F190" s="23"/>
      <c r="G190" s="7"/>
      <c r="H190" s="15">
        <f>IFERROR(__xludf.DUMMYFUNCTION("""COMPUTED_VALUE"""),43010.66666666667)</f>
        <v>43010.66667</v>
      </c>
      <c r="I190" s="16">
        <f>IFERROR(__xludf.DUMMYFUNCTION("""COMPUTED_VALUE"""),68.31)</f>
        <v>68.31</v>
      </c>
      <c r="J190" s="7"/>
    </row>
    <row r="191">
      <c r="A191" s="7"/>
      <c r="B191" s="7"/>
      <c r="C191" s="7"/>
      <c r="D191" s="7"/>
      <c r="E191" s="7"/>
      <c r="F191" s="23"/>
      <c r="G191" s="7"/>
      <c r="H191" s="15">
        <f>IFERROR(__xludf.DUMMYFUNCTION("""COMPUTED_VALUE"""),43011.66666666667)</f>
        <v>43011.66667</v>
      </c>
      <c r="I191" s="16">
        <f>IFERROR(__xludf.DUMMYFUNCTION("""COMPUTED_VALUE"""),69.63)</f>
        <v>69.63</v>
      </c>
      <c r="J191" s="7"/>
    </row>
    <row r="192">
      <c r="A192" s="7"/>
      <c r="B192" s="7"/>
      <c r="C192" s="7"/>
      <c r="D192" s="7"/>
      <c r="E192" s="7"/>
      <c r="F192" s="23"/>
      <c r="G192" s="7"/>
      <c r="H192" s="15">
        <f>IFERROR(__xludf.DUMMYFUNCTION("""COMPUTED_VALUE"""),43012.66666666667)</f>
        <v>43012.66667</v>
      </c>
      <c r="I192" s="16">
        <f>IFERROR(__xludf.DUMMYFUNCTION("""COMPUTED_VALUE"""),71.0)</f>
        <v>71</v>
      </c>
      <c r="J192" s="7"/>
    </row>
    <row r="193">
      <c r="A193" s="7"/>
      <c r="B193" s="7"/>
      <c r="C193" s="7"/>
      <c r="D193" s="7"/>
      <c r="E193" s="7"/>
      <c r="F193" s="23"/>
      <c r="G193" s="7"/>
      <c r="H193" s="15">
        <f>IFERROR(__xludf.DUMMYFUNCTION("""COMPUTED_VALUE"""),43013.66666666667)</f>
        <v>43013.66667</v>
      </c>
      <c r="I193" s="16">
        <f>IFERROR(__xludf.DUMMYFUNCTION("""COMPUTED_VALUE"""),71.07)</f>
        <v>71.07</v>
      </c>
      <c r="J193" s="7"/>
    </row>
    <row r="194">
      <c r="A194" s="7"/>
      <c r="B194" s="7"/>
      <c r="C194" s="7"/>
      <c r="D194" s="7"/>
      <c r="E194" s="7"/>
      <c r="F194" s="23"/>
      <c r="G194" s="7"/>
      <c r="H194" s="15">
        <f>IFERROR(__xludf.DUMMYFUNCTION("""COMPUTED_VALUE"""),43014.66666666667)</f>
        <v>43014.66667</v>
      </c>
      <c r="I194" s="16">
        <f>IFERROR(__xludf.DUMMYFUNCTION("""COMPUTED_VALUE"""),71.38)</f>
        <v>71.38</v>
      </c>
      <c r="J194" s="7"/>
    </row>
    <row r="195">
      <c r="A195" s="7"/>
      <c r="B195" s="7"/>
      <c r="C195" s="7"/>
      <c r="D195" s="7"/>
      <c r="E195" s="7"/>
      <c r="F195" s="23"/>
      <c r="G195" s="7"/>
      <c r="H195" s="15">
        <f>IFERROR(__xludf.DUMMYFUNCTION("""COMPUTED_VALUE"""),43017.66666666667)</f>
        <v>43017.66667</v>
      </c>
      <c r="I195" s="16">
        <f>IFERROR(__xludf.DUMMYFUNCTION("""COMPUTED_VALUE"""),68.59)</f>
        <v>68.59</v>
      </c>
      <c r="J195" s="7"/>
    </row>
    <row r="196">
      <c r="A196" s="7"/>
      <c r="B196" s="7"/>
      <c r="C196" s="7"/>
      <c r="D196" s="7"/>
      <c r="E196" s="7"/>
      <c r="F196" s="23"/>
      <c r="G196" s="7"/>
      <c r="H196" s="15">
        <f>IFERROR(__xludf.DUMMYFUNCTION("""COMPUTED_VALUE"""),43018.66666666667)</f>
        <v>43018.66667</v>
      </c>
      <c r="I196" s="16">
        <f>IFERROR(__xludf.DUMMYFUNCTION("""COMPUTED_VALUE"""),71.12)</f>
        <v>71.12</v>
      </c>
      <c r="J196" s="7"/>
    </row>
    <row r="197">
      <c r="A197" s="7"/>
      <c r="B197" s="7"/>
      <c r="C197" s="7"/>
      <c r="D197" s="7"/>
      <c r="E197" s="7"/>
      <c r="F197" s="23"/>
      <c r="G197" s="7"/>
      <c r="H197" s="15">
        <f>IFERROR(__xludf.DUMMYFUNCTION("""COMPUTED_VALUE"""),43019.66666666667)</f>
        <v>43019.66667</v>
      </c>
      <c r="I197" s="16">
        <f>IFERROR(__xludf.DUMMYFUNCTION("""COMPUTED_VALUE"""),70.92)</f>
        <v>70.92</v>
      </c>
      <c r="J197" s="7"/>
    </row>
    <row r="198">
      <c r="A198" s="7"/>
      <c r="B198" s="7"/>
      <c r="C198" s="7"/>
      <c r="D198" s="7"/>
      <c r="E198" s="7"/>
      <c r="F198" s="23"/>
      <c r="G198" s="7"/>
      <c r="H198" s="15">
        <f>IFERROR(__xludf.DUMMYFUNCTION("""COMPUTED_VALUE"""),43020.66666666667)</f>
        <v>43020.66667</v>
      </c>
      <c r="I198" s="16">
        <f>IFERROR(__xludf.DUMMYFUNCTION("""COMPUTED_VALUE"""),71.14)</f>
        <v>71.14</v>
      </c>
      <c r="J198" s="7"/>
    </row>
    <row r="199">
      <c r="A199" s="7"/>
      <c r="B199" s="7"/>
      <c r="C199" s="7"/>
      <c r="D199" s="7"/>
      <c r="E199" s="7"/>
      <c r="F199" s="23"/>
      <c r="G199" s="7"/>
      <c r="H199" s="15">
        <f>IFERROR(__xludf.DUMMYFUNCTION("""COMPUTED_VALUE"""),43021.66666666667)</f>
        <v>43021.66667</v>
      </c>
      <c r="I199" s="16">
        <f>IFERROR(__xludf.DUMMYFUNCTION("""COMPUTED_VALUE"""),71.11)</f>
        <v>71.11</v>
      </c>
      <c r="J199" s="7"/>
    </row>
    <row r="200">
      <c r="A200" s="7"/>
      <c r="B200" s="7"/>
      <c r="C200" s="7"/>
      <c r="D200" s="7"/>
      <c r="E200" s="7"/>
      <c r="F200" s="23"/>
      <c r="G200" s="7"/>
      <c r="H200" s="15">
        <f>IFERROR(__xludf.DUMMYFUNCTION("""COMPUTED_VALUE"""),43024.66666666667)</f>
        <v>43024.66667</v>
      </c>
      <c r="I200" s="16">
        <f>IFERROR(__xludf.DUMMYFUNCTION("""COMPUTED_VALUE"""),70.12)</f>
        <v>70.12</v>
      </c>
      <c r="J200" s="7"/>
    </row>
    <row r="201">
      <c r="A201" s="7"/>
      <c r="B201" s="7"/>
      <c r="C201" s="7"/>
      <c r="D201" s="7"/>
      <c r="E201" s="7"/>
      <c r="F201" s="23"/>
      <c r="G201" s="7"/>
      <c r="H201" s="15">
        <f>IFERROR(__xludf.DUMMYFUNCTION("""COMPUTED_VALUE"""),43025.66666666667)</f>
        <v>43025.66667</v>
      </c>
      <c r="I201" s="16">
        <f>IFERROR(__xludf.DUMMYFUNCTION("""COMPUTED_VALUE"""),71.15)</f>
        <v>71.15</v>
      </c>
      <c r="J201" s="7"/>
    </row>
    <row r="202">
      <c r="A202" s="7"/>
      <c r="B202" s="7"/>
      <c r="C202" s="7"/>
      <c r="D202" s="7"/>
      <c r="E202" s="7"/>
      <c r="F202" s="23"/>
      <c r="G202" s="7"/>
      <c r="H202" s="15">
        <f>IFERROR(__xludf.DUMMYFUNCTION("""COMPUTED_VALUE"""),43026.66666666667)</f>
        <v>43026.66667</v>
      </c>
      <c r="I202" s="16">
        <f>IFERROR(__xludf.DUMMYFUNCTION("""COMPUTED_VALUE"""),71.93)</f>
        <v>71.93</v>
      </c>
      <c r="J202" s="7"/>
    </row>
    <row r="203">
      <c r="A203" s="7"/>
      <c r="B203" s="7"/>
      <c r="C203" s="7"/>
      <c r="D203" s="7"/>
      <c r="E203" s="7"/>
      <c r="F203" s="23"/>
      <c r="G203" s="7"/>
      <c r="H203" s="15">
        <f>IFERROR(__xludf.DUMMYFUNCTION("""COMPUTED_VALUE"""),43027.66666666667)</f>
        <v>43027.66667</v>
      </c>
      <c r="I203" s="16">
        <f>IFERROR(__xludf.DUMMYFUNCTION("""COMPUTED_VALUE"""),70.36)</f>
        <v>70.36</v>
      </c>
      <c r="J203" s="7"/>
    </row>
    <row r="204">
      <c r="A204" s="7"/>
      <c r="B204" s="7"/>
      <c r="C204" s="7"/>
      <c r="D204" s="7"/>
      <c r="E204" s="7"/>
      <c r="F204" s="23"/>
      <c r="G204" s="7"/>
      <c r="H204" s="15">
        <f>IFERROR(__xludf.DUMMYFUNCTION("""COMPUTED_VALUE"""),43028.66666666667)</f>
        <v>43028.66667</v>
      </c>
      <c r="I204" s="16">
        <f>IFERROR(__xludf.DUMMYFUNCTION("""COMPUTED_VALUE"""),69.02)</f>
        <v>69.02</v>
      </c>
      <c r="J204" s="7"/>
    </row>
    <row r="205">
      <c r="A205" s="7"/>
      <c r="B205" s="7"/>
      <c r="C205" s="7"/>
      <c r="D205" s="7"/>
      <c r="E205" s="7"/>
      <c r="F205" s="23"/>
      <c r="G205" s="7"/>
      <c r="H205" s="15">
        <f>IFERROR(__xludf.DUMMYFUNCTION("""COMPUTED_VALUE"""),43031.66666666667)</f>
        <v>43031.66667</v>
      </c>
      <c r="I205" s="16">
        <f>IFERROR(__xludf.DUMMYFUNCTION("""COMPUTED_VALUE"""),67.4)</f>
        <v>67.4</v>
      </c>
      <c r="J205" s="7"/>
    </row>
    <row r="206">
      <c r="A206" s="7"/>
      <c r="B206" s="7"/>
      <c r="C206" s="7"/>
      <c r="D206" s="7"/>
      <c r="E206" s="7"/>
      <c r="F206" s="23"/>
      <c r="G206" s="7"/>
      <c r="H206" s="15">
        <f>IFERROR(__xludf.DUMMYFUNCTION("""COMPUTED_VALUE"""),43032.66666666667)</f>
        <v>43032.66667</v>
      </c>
      <c r="I206" s="16">
        <f>IFERROR(__xludf.DUMMYFUNCTION("""COMPUTED_VALUE"""),67.47)</f>
        <v>67.47</v>
      </c>
      <c r="J206" s="7"/>
    </row>
    <row r="207">
      <c r="A207" s="7"/>
      <c r="B207" s="7"/>
      <c r="C207" s="7"/>
      <c r="D207" s="7"/>
      <c r="E207" s="7"/>
      <c r="F207" s="23"/>
      <c r="G207" s="7"/>
      <c r="H207" s="15">
        <f>IFERROR(__xludf.DUMMYFUNCTION("""COMPUTED_VALUE"""),43033.66666666667)</f>
        <v>43033.66667</v>
      </c>
      <c r="I207" s="16">
        <f>IFERROR(__xludf.DUMMYFUNCTION("""COMPUTED_VALUE"""),65.17)</f>
        <v>65.17</v>
      </c>
      <c r="J207" s="7"/>
    </row>
    <row r="208">
      <c r="A208" s="7"/>
      <c r="B208" s="7"/>
      <c r="C208" s="7"/>
      <c r="D208" s="7"/>
      <c r="E208" s="7"/>
      <c r="F208" s="23"/>
      <c r="G208" s="7"/>
      <c r="H208" s="15">
        <f>IFERROR(__xludf.DUMMYFUNCTION("""COMPUTED_VALUE"""),43034.66666666667)</f>
        <v>43034.66667</v>
      </c>
      <c r="I208" s="16">
        <f>IFERROR(__xludf.DUMMYFUNCTION("""COMPUTED_VALUE"""),65.23)</f>
        <v>65.23</v>
      </c>
      <c r="J208" s="7"/>
    </row>
    <row r="209">
      <c r="A209" s="7"/>
      <c r="B209" s="7"/>
      <c r="C209" s="7"/>
      <c r="D209" s="7"/>
      <c r="E209" s="7"/>
      <c r="F209" s="23"/>
      <c r="G209" s="7"/>
      <c r="H209" s="15">
        <f>IFERROR(__xludf.DUMMYFUNCTION("""COMPUTED_VALUE"""),43035.66666666667)</f>
        <v>43035.66667</v>
      </c>
      <c r="I209" s="16">
        <f>IFERROR(__xludf.DUMMYFUNCTION("""COMPUTED_VALUE"""),64.17)</f>
        <v>64.17</v>
      </c>
      <c r="J209" s="7"/>
    </row>
    <row r="210">
      <c r="A210" s="7"/>
      <c r="B210" s="7"/>
      <c r="C210" s="7"/>
      <c r="D210" s="7"/>
      <c r="E210" s="7"/>
      <c r="F210" s="23"/>
      <c r="G210" s="7"/>
      <c r="H210" s="15">
        <f>IFERROR(__xludf.DUMMYFUNCTION("""COMPUTED_VALUE"""),43038.66666666667)</f>
        <v>43038.66667</v>
      </c>
      <c r="I210" s="16">
        <f>IFERROR(__xludf.DUMMYFUNCTION("""COMPUTED_VALUE"""),64.02)</f>
        <v>64.02</v>
      </c>
      <c r="J210" s="7"/>
    </row>
    <row r="211">
      <c r="A211" s="7"/>
      <c r="B211" s="7"/>
      <c r="C211" s="7"/>
      <c r="D211" s="7"/>
      <c r="E211" s="7"/>
      <c r="F211" s="23"/>
      <c r="G211" s="7"/>
      <c r="H211" s="15">
        <f>IFERROR(__xludf.DUMMYFUNCTION("""COMPUTED_VALUE"""),43039.66666666667)</f>
        <v>43039.66667</v>
      </c>
      <c r="I211" s="16">
        <f>IFERROR(__xludf.DUMMYFUNCTION("""COMPUTED_VALUE"""),66.31)</f>
        <v>66.31</v>
      </c>
      <c r="J211" s="7"/>
    </row>
    <row r="212">
      <c r="A212" s="7"/>
      <c r="B212" s="7"/>
      <c r="C212" s="7"/>
      <c r="D212" s="7"/>
      <c r="E212" s="7"/>
      <c r="F212" s="23"/>
      <c r="G212" s="7"/>
      <c r="H212" s="15">
        <f>IFERROR(__xludf.DUMMYFUNCTION("""COMPUTED_VALUE"""),43040.66666666667)</f>
        <v>43040.66667</v>
      </c>
      <c r="I212" s="16">
        <f>IFERROR(__xludf.DUMMYFUNCTION("""COMPUTED_VALUE"""),64.22)</f>
        <v>64.22</v>
      </c>
      <c r="J212" s="7"/>
    </row>
    <row r="213">
      <c r="A213" s="7"/>
      <c r="B213" s="7"/>
      <c r="C213" s="7"/>
      <c r="D213" s="7"/>
      <c r="E213" s="7"/>
      <c r="F213" s="23"/>
      <c r="G213" s="7"/>
      <c r="H213" s="15">
        <f>IFERROR(__xludf.DUMMYFUNCTION("""COMPUTED_VALUE"""),43041.66666666667)</f>
        <v>43041.66667</v>
      </c>
      <c r="I213" s="16">
        <f>IFERROR(__xludf.DUMMYFUNCTION("""COMPUTED_VALUE"""),59.85)</f>
        <v>59.85</v>
      </c>
      <c r="J213" s="7"/>
    </row>
    <row r="214">
      <c r="A214" s="7"/>
      <c r="B214" s="7"/>
      <c r="C214" s="7"/>
      <c r="D214" s="7"/>
      <c r="E214" s="7"/>
      <c r="F214" s="23"/>
      <c r="G214" s="7"/>
      <c r="H214" s="15">
        <f>IFERROR(__xludf.DUMMYFUNCTION("""COMPUTED_VALUE"""),43042.66666666667)</f>
        <v>43042.66667</v>
      </c>
      <c r="I214" s="16">
        <f>IFERROR(__xludf.DUMMYFUNCTION("""COMPUTED_VALUE"""),61.22)</f>
        <v>61.22</v>
      </c>
      <c r="J214" s="7"/>
    </row>
    <row r="215">
      <c r="A215" s="7"/>
      <c r="B215" s="7"/>
      <c r="C215" s="7"/>
      <c r="D215" s="7"/>
      <c r="E215" s="7"/>
      <c r="F215" s="23"/>
      <c r="G215" s="7"/>
      <c r="H215" s="15">
        <f>IFERROR(__xludf.DUMMYFUNCTION("""COMPUTED_VALUE"""),43045.66666666667)</f>
        <v>43045.66667</v>
      </c>
      <c r="I215" s="16">
        <f>IFERROR(__xludf.DUMMYFUNCTION("""COMPUTED_VALUE"""),60.56)</f>
        <v>60.56</v>
      </c>
      <c r="J215" s="7"/>
    </row>
    <row r="216">
      <c r="A216" s="7"/>
      <c r="B216" s="7"/>
      <c r="C216" s="7"/>
      <c r="D216" s="7"/>
      <c r="E216" s="7"/>
      <c r="F216" s="23"/>
      <c r="G216" s="7"/>
      <c r="H216" s="15">
        <f>IFERROR(__xludf.DUMMYFUNCTION("""COMPUTED_VALUE"""),43046.66666666667)</f>
        <v>43046.66667</v>
      </c>
      <c r="I216" s="16">
        <f>IFERROR(__xludf.DUMMYFUNCTION("""COMPUTED_VALUE"""),61.21)</f>
        <v>61.21</v>
      </c>
      <c r="J216" s="7"/>
    </row>
    <row r="217">
      <c r="A217" s="7"/>
      <c r="B217" s="7"/>
      <c r="C217" s="7"/>
      <c r="D217" s="7"/>
      <c r="E217" s="7"/>
      <c r="F217" s="23"/>
      <c r="G217" s="7"/>
      <c r="H217" s="15">
        <f>IFERROR(__xludf.DUMMYFUNCTION("""COMPUTED_VALUE"""),43047.66666666667)</f>
        <v>43047.66667</v>
      </c>
      <c r="I217" s="16">
        <f>IFERROR(__xludf.DUMMYFUNCTION("""COMPUTED_VALUE"""),60.88)</f>
        <v>60.88</v>
      </c>
      <c r="J217" s="7"/>
    </row>
    <row r="218">
      <c r="A218" s="7"/>
      <c r="B218" s="7"/>
      <c r="C218" s="7"/>
      <c r="D218" s="7"/>
      <c r="E218" s="7"/>
      <c r="F218" s="23"/>
      <c r="G218" s="7"/>
      <c r="H218" s="15">
        <f>IFERROR(__xludf.DUMMYFUNCTION("""COMPUTED_VALUE"""),43048.66666666667)</f>
        <v>43048.66667</v>
      </c>
      <c r="I218" s="16">
        <f>IFERROR(__xludf.DUMMYFUNCTION("""COMPUTED_VALUE"""),60.6)</f>
        <v>60.6</v>
      </c>
      <c r="J218" s="7"/>
    </row>
    <row r="219">
      <c r="A219" s="7"/>
      <c r="B219" s="7"/>
      <c r="C219" s="7"/>
      <c r="D219" s="7"/>
      <c r="E219" s="7"/>
      <c r="F219" s="23"/>
      <c r="G219" s="7"/>
      <c r="H219" s="15">
        <f>IFERROR(__xludf.DUMMYFUNCTION("""COMPUTED_VALUE"""),43049.66666666667)</f>
        <v>43049.66667</v>
      </c>
      <c r="I219" s="16">
        <f>IFERROR(__xludf.DUMMYFUNCTION("""COMPUTED_VALUE"""),60.6)</f>
        <v>60.6</v>
      </c>
      <c r="J219" s="7"/>
    </row>
    <row r="220">
      <c r="A220" s="7"/>
      <c r="B220" s="7"/>
      <c r="C220" s="7"/>
      <c r="D220" s="7"/>
      <c r="E220" s="7"/>
      <c r="F220" s="23"/>
      <c r="G220" s="7"/>
      <c r="H220" s="15">
        <f>IFERROR(__xludf.DUMMYFUNCTION("""COMPUTED_VALUE"""),43052.66666666667)</f>
        <v>43052.66667</v>
      </c>
      <c r="I220" s="16">
        <f>IFERROR(__xludf.DUMMYFUNCTION("""COMPUTED_VALUE"""),63.08)</f>
        <v>63.08</v>
      </c>
      <c r="J220" s="7"/>
    </row>
    <row r="221">
      <c r="A221" s="7"/>
      <c r="B221" s="7"/>
      <c r="C221" s="7"/>
      <c r="D221" s="7"/>
      <c r="E221" s="7"/>
      <c r="F221" s="23"/>
      <c r="G221" s="7"/>
      <c r="H221" s="15">
        <f>IFERROR(__xludf.DUMMYFUNCTION("""COMPUTED_VALUE"""),43053.66666666667)</f>
        <v>43053.66667</v>
      </c>
      <c r="I221" s="16">
        <f>IFERROR(__xludf.DUMMYFUNCTION("""COMPUTED_VALUE"""),61.74)</f>
        <v>61.74</v>
      </c>
      <c r="J221" s="7"/>
    </row>
    <row r="222">
      <c r="A222" s="7"/>
      <c r="B222" s="7"/>
      <c r="C222" s="7"/>
      <c r="D222" s="7"/>
      <c r="E222" s="7"/>
      <c r="F222" s="23"/>
      <c r="G222" s="7"/>
      <c r="H222" s="15">
        <f>IFERROR(__xludf.DUMMYFUNCTION("""COMPUTED_VALUE"""),43054.66666666667)</f>
        <v>43054.66667</v>
      </c>
      <c r="I222" s="16">
        <f>IFERROR(__xludf.DUMMYFUNCTION("""COMPUTED_VALUE"""),62.26)</f>
        <v>62.26</v>
      </c>
      <c r="J222" s="7"/>
    </row>
    <row r="223">
      <c r="A223" s="7"/>
      <c r="B223" s="7"/>
      <c r="C223" s="7"/>
      <c r="D223" s="7"/>
      <c r="E223" s="7"/>
      <c r="F223" s="23"/>
      <c r="G223" s="7"/>
      <c r="H223" s="15">
        <f>IFERROR(__xludf.DUMMYFUNCTION("""COMPUTED_VALUE"""),43055.66666666667)</f>
        <v>43055.66667</v>
      </c>
      <c r="I223" s="16">
        <f>IFERROR(__xludf.DUMMYFUNCTION("""COMPUTED_VALUE"""),62.5)</f>
        <v>62.5</v>
      </c>
      <c r="J223" s="7"/>
    </row>
    <row r="224">
      <c r="A224" s="7"/>
      <c r="B224" s="7"/>
      <c r="C224" s="7"/>
      <c r="D224" s="7"/>
      <c r="E224" s="7"/>
      <c r="F224" s="23"/>
      <c r="G224" s="7"/>
      <c r="H224" s="15">
        <f>IFERROR(__xludf.DUMMYFUNCTION("""COMPUTED_VALUE"""),43056.66666666667)</f>
        <v>43056.66667</v>
      </c>
      <c r="I224" s="16">
        <f>IFERROR(__xludf.DUMMYFUNCTION("""COMPUTED_VALUE"""),63.01)</f>
        <v>63.01</v>
      </c>
      <c r="J224" s="7"/>
    </row>
    <row r="225">
      <c r="A225" s="7"/>
      <c r="B225" s="7"/>
      <c r="C225" s="7"/>
      <c r="D225" s="7"/>
      <c r="E225" s="7"/>
      <c r="F225" s="23"/>
      <c r="G225" s="7"/>
      <c r="H225" s="15">
        <f>IFERROR(__xludf.DUMMYFUNCTION("""COMPUTED_VALUE"""),43059.66666666667)</f>
        <v>43059.66667</v>
      </c>
      <c r="I225" s="16">
        <f>IFERROR(__xludf.DUMMYFUNCTION("""COMPUTED_VALUE"""),61.75)</f>
        <v>61.75</v>
      </c>
      <c r="J225" s="7"/>
    </row>
    <row r="226">
      <c r="A226" s="7"/>
      <c r="B226" s="7"/>
      <c r="C226" s="7"/>
      <c r="D226" s="7"/>
      <c r="E226" s="7"/>
      <c r="F226" s="23"/>
      <c r="G226" s="7"/>
      <c r="H226" s="15">
        <f>IFERROR(__xludf.DUMMYFUNCTION("""COMPUTED_VALUE"""),43060.66666666667)</f>
        <v>43060.66667</v>
      </c>
      <c r="I226" s="16">
        <f>IFERROR(__xludf.DUMMYFUNCTION("""COMPUTED_VALUE"""),63.56)</f>
        <v>63.56</v>
      </c>
      <c r="J226" s="7"/>
    </row>
    <row r="227">
      <c r="A227" s="7"/>
      <c r="B227" s="7"/>
      <c r="C227" s="7"/>
      <c r="D227" s="7"/>
      <c r="E227" s="7"/>
      <c r="F227" s="23"/>
      <c r="G227" s="7"/>
      <c r="H227" s="15">
        <f>IFERROR(__xludf.DUMMYFUNCTION("""COMPUTED_VALUE"""),43061.66666666667)</f>
        <v>43061.66667</v>
      </c>
      <c r="I227" s="16">
        <f>IFERROR(__xludf.DUMMYFUNCTION("""COMPUTED_VALUE"""),62.52)</f>
        <v>62.52</v>
      </c>
      <c r="J227" s="7"/>
    </row>
    <row r="228">
      <c r="A228" s="7"/>
      <c r="B228" s="7"/>
      <c r="C228" s="7"/>
      <c r="D228" s="7"/>
      <c r="E228" s="7"/>
      <c r="F228" s="23"/>
      <c r="G228" s="7"/>
      <c r="H228" s="15">
        <f>IFERROR(__xludf.DUMMYFUNCTION("""COMPUTED_VALUE"""),43063.54166666667)</f>
        <v>43063.54167</v>
      </c>
      <c r="I228" s="16">
        <f>IFERROR(__xludf.DUMMYFUNCTION("""COMPUTED_VALUE"""),63.11)</f>
        <v>63.11</v>
      </c>
      <c r="J228" s="7"/>
    </row>
    <row r="229">
      <c r="A229" s="7"/>
      <c r="B229" s="7"/>
      <c r="C229" s="7"/>
      <c r="D229" s="7"/>
      <c r="E229" s="7"/>
      <c r="F229" s="23"/>
      <c r="G229" s="7"/>
      <c r="H229" s="15">
        <f>IFERROR(__xludf.DUMMYFUNCTION("""COMPUTED_VALUE"""),43066.66666666667)</f>
        <v>43066.66667</v>
      </c>
      <c r="I229" s="16">
        <f>IFERROR(__xludf.DUMMYFUNCTION("""COMPUTED_VALUE"""),63.36)</f>
        <v>63.36</v>
      </c>
      <c r="J229" s="7"/>
    </row>
    <row r="230">
      <c r="A230" s="7"/>
      <c r="B230" s="7"/>
      <c r="C230" s="7"/>
      <c r="D230" s="7"/>
      <c r="E230" s="7"/>
      <c r="F230" s="23"/>
      <c r="G230" s="7"/>
      <c r="H230" s="15">
        <f>IFERROR(__xludf.DUMMYFUNCTION("""COMPUTED_VALUE"""),43067.66666666667)</f>
        <v>43067.66667</v>
      </c>
      <c r="I230" s="16">
        <f>IFERROR(__xludf.DUMMYFUNCTION("""COMPUTED_VALUE"""),63.51)</f>
        <v>63.51</v>
      </c>
      <c r="J230" s="7"/>
    </row>
    <row r="231">
      <c r="A231" s="7"/>
      <c r="B231" s="7"/>
      <c r="C231" s="7"/>
      <c r="D231" s="7"/>
      <c r="E231" s="7"/>
      <c r="F231" s="23"/>
      <c r="G231" s="7"/>
      <c r="H231" s="15">
        <f>IFERROR(__xludf.DUMMYFUNCTION("""COMPUTED_VALUE"""),43068.66666666667)</f>
        <v>43068.66667</v>
      </c>
      <c r="I231" s="16">
        <f>IFERROR(__xludf.DUMMYFUNCTION("""COMPUTED_VALUE"""),61.51)</f>
        <v>61.51</v>
      </c>
      <c r="J231" s="7"/>
    </row>
    <row r="232">
      <c r="A232" s="7"/>
      <c r="B232" s="7"/>
      <c r="C232" s="7"/>
      <c r="D232" s="7"/>
      <c r="E232" s="7"/>
      <c r="F232" s="23"/>
      <c r="G232" s="7"/>
      <c r="H232" s="15">
        <f>IFERROR(__xludf.DUMMYFUNCTION("""COMPUTED_VALUE"""),43069.66666666667)</f>
        <v>43069.66667</v>
      </c>
      <c r="I232" s="16">
        <f>IFERROR(__xludf.DUMMYFUNCTION("""COMPUTED_VALUE"""),61.77)</f>
        <v>61.77</v>
      </c>
      <c r="J232" s="7"/>
    </row>
    <row r="233">
      <c r="A233" s="7"/>
      <c r="B233" s="7"/>
      <c r="C233" s="7"/>
      <c r="D233" s="7"/>
      <c r="E233" s="7"/>
      <c r="F233" s="23"/>
      <c r="G233" s="7"/>
      <c r="H233" s="15">
        <f>IFERROR(__xludf.DUMMYFUNCTION("""COMPUTED_VALUE"""),43070.66666666667)</f>
        <v>43070.66667</v>
      </c>
      <c r="I233" s="16">
        <f>IFERROR(__xludf.DUMMYFUNCTION("""COMPUTED_VALUE"""),61.31)</f>
        <v>61.31</v>
      </c>
      <c r="J233" s="7"/>
    </row>
    <row r="234">
      <c r="A234" s="7"/>
      <c r="B234" s="7"/>
      <c r="C234" s="7"/>
      <c r="D234" s="7"/>
      <c r="E234" s="7"/>
      <c r="F234" s="23"/>
      <c r="G234" s="7"/>
      <c r="H234" s="15">
        <f>IFERROR(__xludf.DUMMYFUNCTION("""COMPUTED_VALUE"""),43073.66666666667)</f>
        <v>43073.66667</v>
      </c>
      <c r="I234" s="16">
        <f>IFERROR(__xludf.DUMMYFUNCTION("""COMPUTED_VALUE"""),61.04)</f>
        <v>61.04</v>
      </c>
      <c r="J234" s="7"/>
    </row>
    <row r="235">
      <c r="A235" s="7"/>
      <c r="B235" s="7"/>
      <c r="C235" s="7"/>
      <c r="D235" s="7"/>
      <c r="E235" s="7"/>
      <c r="F235" s="23"/>
      <c r="G235" s="7"/>
      <c r="H235" s="15">
        <f>IFERROR(__xludf.DUMMYFUNCTION("""COMPUTED_VALUE"""),43074.66666666667)</f>
        <v>43074.66667</v>
      </c>
      <c r="I235" s="16">
        <f>IFERROR(__xludf.DUMMYFUNCTION("""COMPUTED_VALUE"""),60.74)</f>
        <v>60.74</v>
      </c>
      <c r="J235" s="7"/>
    </row>
    <row r="236">
      <c r="A236" s="7"/>
      <c r="B236" s="7"/>
      <c r="C236" s="7"/>
      <c r="D236" s="7"/>
      <c r="E236" s="7"/>
      <c r="F236" s="23"/>
      <c r="G236" s="7"/>
      <c r="H236" s="15">
        <f>IFERROR(__xludf.DUMMYFUNCTION("""COMPUTED_VALUE"""),43075.66666666667)</f>
        <v>43075.66667</v>
      </c>
      <c r="I236" s="16">
        <f>IFERROR(__xludf.DUMMYFUNCTION("""COMPUTED_VALUE"""),62.65)</f>
        <v>62.65</v>
      </c>
      <c r="J236" s="7"/>
    </row>
    <row r="237">
      <c r="A237" s="7"/>
      <c r="B237" s="7"/>
      <c r="C237" s="7"/>
      <c r="D237" s="7"/>
      <c r="E237" s="7"/>
      <c r="F237" s="23"/>
      <c r="G237" s="7"/>
      <c r="H237" s="15">
        <f>IFERROR(__xludf.DUMMYFUNCTION("""COMPUTED_VALUE"""),43076.66666666667)</f>
        <v>43076.66667</v>
      </c>
      <c r="I237" s="16">
        <f>IFERROR(__xludf.DUMMYFUNCTION("""COMPUTED_VALUE"""),62.25)</f>
        <v>62.25</v>
      </c>
      <c r="J237" s="7"/>
    </row>
    <row r="238">
      <c r="A238" s="7"/>
      <c r="B238" s="7"/>
      <c r="C238" s="7"/>
      <c r="D238" s="7"/>
      <c r="E238" s="7"/>
      <c r="F238" s="23"/>
      <c r="G238" s="7"/>
      <c r="H238" s="15">
        <f>IFERROR(__xludf.DUMMYFUNCTION("""COMPUTED_VALUE"""),43077.66666666667)</f>
        <v>43077.66667</v>
      </c>
      <c r="I238" s="16">
        <f>IFERROR(__xludf.DUMMYFUNCTION("""COMPUTED_VALUE"""),63.03)</f>
        <v>63.03</v>
      </c>
      <c r="J238" s="7"/>
    </row>
    <row r="239">
      <c r="A239" s="7"/>
      <c r="B239" s="7"/>
      <c r="C239" s="7"/>
      <c r="D239" s="7"/>
      <c r="E239" s="7"/>
      <c r="F239" s="23"/>
      <c r="G239" s="7"/>
      <c r="H239" s="15">
        <f>IFERROR(__xludf.DUMMYFUNCTION("""COMPUTED_VALUE"""),43080.66666666667)</f>
        <v>43080.66667</v>
      </c>
      <c r="I239" s="16">
        <f>IFERROR(__xludf.DUMMYFUNCTION("""COMPUTED_VALUE"""),65.78)</f>
        <v>65.78</v>
      </c>
      <c r="J239" s="7"/>
    </row>
    <row r="240">
      <c r="A240" s="7"/>
      <c r="B240" s="7"/>
      <c r="C240" s="7"/>
      <c r="D240" s="7"/>
      <c r="E240" s="7"/>
      <c r="F240" s="23"/>
      <c r="G240" s="7"/>
      <c r="H240" s="15">
        <f>IFERROR(__xludf.DUMMYFUNCTION("""COMPUTED_VALUE"""),43081.66666666667)</f>
        <v>43081.66667</v>
      </c>
      <c r="I240" s="16">
        <f>IFERROR(__xludf.DUMMYFUNCTION("""COMPUTED_VALUE"""),68.21)</f>
        <v>68.21</v>
      </c>
      <c r="J240" s="7"/>
    </row>
    <row r="241">
      <c r="A241" s="7"/>
      <c r="B241" s="7"/>
      <c r="C241" s="7"/>
      <c r="D241" s="7"/>
      <c r="E241" s="7"/>
      <c r="F241" s="23"/>
      <c r="G241" s="7"/>
      <c r="H241" s="15">
        <f>IFERROR(__xludf.DUMMYFUNCTION("""COMPUTED_VALUE"""),43082.66666666667)</f>
        <v>43082.66667</v>
      </c>
      <c r="I241" s="16">
        <f>IFERROR(__xludf.DUMMYFUNCTION("""COMPUTED_VALUE"""),67.81)</f>
        <v>67.81</v>
      </c>
      <c r="J241" s="7"/>
    </row>
    <row r="242">
      <c r="A242" s="7"/>
      <c r="B242" s="7"/>
      <c r="C242" s="7"/>
      <c r="D242" s="7"/>
      <c r="E242" s="7"/>
      <c r="F242" s="23"/>
      <c r="G242" s="7"/>
      <c r="H242" s="15">
        <f>IFERROR(__xludf.DUMMYFUNCTION("""COMPUTED_VALUE"""),43083.66666666667)</f>
        <v>43083.66667</v>
      </c>
      <c r="I242" s="16">
        <f>IFERROR(__xludf.DUMMYFUNCTION("""COMPUTED_VALUE"""),67.58)</f>
        <v>67.58</v>
      </c>
      <c r="J242" s="7"/>
    </row>
    <row r="243">
      <c r="A243" s="7"/>
      <c r="B243" s="7"/>
      <c r="C243" s="7"/>
      <c r="D243" s="7"/>
      <c r="E243" s="7"/>
      <c r="F243" s="23"/>
      <c r="G243" s="7"/>
      <c r="H243" s="15">
        <f>IFERROR(__xludf.DUMMYFUNCTION("""COMPUTED_VALUE"""),43084.66666666667)</f>
        <v>43084.66667</v>
      </c>
      <c r="I243" s="16">
        <f>IFERROR(__xludf.DUMMYFUNCTION("""COMPUTED_VALUE"""),68.69)</f>
        <v>68.69</v>
      </c>
      <c r="J243" s="7"/>
    </row>
    <row r="244">
      <c r="A244" s="7"/>
      <c r="B244" s="7"/>
      <c r="C244" s="7"/>
      <c r="D244" s="7"/>
      <c r="E244" s="7"/>
      <c r="F244" s="23"/>
      <c r="G244" s="7"/>
      <c r="H244" s="15">
        <f>IFERROR(__xludf.DUMMYFUNCTION("""COMPUTED_VALUE"""),43087.66666666667)</f>
        <v>43087.66667</v>
      </c>
      <c r="I244" s="16">
        <f>IFERROR(__xludf.DUMMYFUNCTION("""COMPUTED_VALUE"""),67.77)</f>
        <v>67.77</v>
      </c>
      <c r="J244" s="7"/>
    </row>
    <row r="245">
      <c r="A245" s="7"/>
      <c r="B245" s="7"/>
      <c r="C245" s="7"/>
      <c r="D245" s="7"/>
      <c r="E245" s="7"/>
      <c r="F245" s="23"/>
      <c r="G245" s="7"/>
      <c r="H245" s="15">
        <f>IFERROR(__xludf.DUMMYFUNCTION("""COMPUTED_VALUE"""),43088.66666666667)</f>
        <v>43088.66667</v>
      </c>
      <c r="I245" s="16">
        <f>IFERROR(__xludf.DUMMYFUNCTION("""COMPUTED_VALUE"""),66.22)</f>
        <v>66.22</v>
      </c>
      <c r="J245" s="7"/>
    </row>
    <row r="246">
      <c r="A246" s="7"/>
      <c r="B246" s="7"/>
      <c r="C246" s="7"/>
      <c r="D246" s="7"/>
      <c r="E246" s="7"/>
      <c r="F246" s="23"/>
      <c r="G246" s="7"/>
      <c r="H246" s="15">
        <f>IFERROR(__xludf.DUMMYFUNCTION("""COMPUTED_VALUE"""),43089.66666666667)</f>
        <v>43089.66667</v>
      </c>
      <c r="I246" s="16">
        <f>IFERROR(__xludf.DUMMYFUNCTION("""COMPUTED_VALUE"""),65.8)</f>
        <v>65.8</v>
      </c>
      <c r="J246" s="7"/>
    </row>
    <row r="247">
      <c r="A247" s="7"/>
      <c r="B247" s="7"/>
      <c r="C247" s="7"/>
      <c r="D247" s="7"/>
      <c r="E247" s="7"/>
      <c r="F247" s="23"/>
      <c r="G247" s="7"/>
      <c r="H247" s="15">
        <f>IFERROR(__xludf.DUMMYFUNCTION("""COMPUTED_VALUE"""),43090.66666666667)</f>
        <v>43090.66667</v>
      </c>
      <c r="I247" s="16">
        <f>IFERROR(__xludf.DUMMYFUNCTION("""COMPUTED_VALUE"""),66.33)</f>
        <v>66.33</v>
      </c>
      <c r="J247" s="7"/>
    </row>
    <row r="248">
      <c r="A248" s="7"/>
      <c r="B248" s="7"/>
      <c r="C248" s="7"/>
      <c r="D248" s="7"/>
      <c r="E248" s="7"/>
      <c r="F248" s="23"/>
      <c r="G248" s="7"/>
      <c r="H248" s="15">
        <f>IFERROR(__xludf.DUMMYFUNCTION("""COMPUTED_VALUE"""),43091.66666666667)</f>
        <v>43091.66667</v>
      </c>
      <c r="I248" s="16">
        <f>IFERROR(__xludf.DUMMYFUNCTION("""COMPUTED_VALUE"""),65.04)</f>
        <v>65.04</v>
      </c>
      <c r="J248" s="7"/>
    </row>
    <row r="249">
      <c r="A249" s="7"/>
      <c r="B249" s="7"/>
      <c r="C249" s="7"/>
      <c r="D249" s="7"/>
      <c r="E249" s="7"/>
      <c r="F249" s="23"/>
      <c r="G249" s="7"/>
      <c r="H249" s="15">
        <f>IFERROR(__xludf.DUMMYFUNCTION("""COMPUTED_VALUE"""),43095.66666666667)</f>
        <v>43095.66667</v>
      </c>
      <c r="I249" s="16">
        <f>IFERROR(__xludf.DUMMYFUNCTION("""COMPUTED_VALUE"""),63.46)</f>
        <v>63.46</v>
      </c>
      <c r="J249" s="7"/>
    </row>
    <row r="250">
      <c r="A250" s="7"/>
      <c r="B250" s="7"/>
      <c r="C250" s="7"/>
      <c r="D250" s="7"/>
      <c r="E250" s="7"/>
      <c r="F250" s="23"/>
      <c r="G250" s="7"/>
      <c r="H250" s="15">
        <f>IFERROR(__xludf.DUMMYFUNCTION("""COMPUTED_VALUE"""),43096.66666666667)</f>
        <v>43096.66667</v>
      </c>
      <c r="I250" s="16">
        <f>IFERROR(__xludf.DUMMYFUNCTION("""COMPUTED_VALUE"""),62.33)</f>
        <v>62.33</v>
      </c>
      <c r="J250" s="7"/>
    </row>
    <row r="251">
      <c r="A251" s="7"/>
      <c r="B251" s="7"/>
      <c r="C251" s="7"/>
      <c r="D251" s="7"/>
      <c r="E251" s="7"/>
      <c r="F251" s="23"/>
      <c r="G251" s="7"/>
      <c r="H251" s="15">
        <f>IFERROR(__xludf.DUMMYFUNCTION("""COMPUTED_VALUE"""),43097.66666666667)</f>
        <v>43097.66667</v>
      </c>
      <c r="I251" s="16">
        <f>IFERROR(__xludf.DUMMYFUNCTION("""COMPUTED_VALUE"""),63.07)</f>
        <v>63.07</v>
      </c>
      <c r="J251" s="7"/>
    </row>
    <row r="252">
      <c r="A252" s="7"/>
      <c r="B252" s="7"/>
      <c r="C252" s="7"/>
      <c r="D252" s="7"/>
      <c r="E252" s="7"/>
      <c r="F252" s="23"/>
      <c r="G252" s="7"/>
      <c r="H252" s="15">
        <f>IFERROR(__xludf.DUMMYFUNCTION("""COMPUTED_VALUE"""),43098.66666666667)</f>
        <v>43098.66667</v>
      </c>
      <c r="I252" s="16">
        <f>IFERROR(__xludf.DUMMYFUNCTION("""COMPUTED_VALUE"""),62.27)</f>
        <v>62.27</v>
      </c>
      <c r="J252" s="7"/>
    </row>
    <row r="253">
      <c r="A253" s="7"/>
      <c r="B253" s="7"/>
      <c r="C253" s="7"/>
      <c r="D253" s="7"/>
      <c r="E253" s="7"/>
      <c r="F253" s="23"/>
      <c r="G253" s="7"/>
      <c r="H253" s="15">
        <f>IFERROR(__xludf.DUMMYFUNCTION("""COMPUTED_VALUE"""),43102.66666666667)</f>
        <v>43102.66667</v>
      </c>
      <c r="I253" s="16">
        <f>IFERROR(__xludf.DUMMYFUNCTION("""COMPUTED_VALUE"""),64.11)</f>
        <v>64.11</v>
      </c>
      <c r="J253" s="7"/>
    </row>
    <row r="254">
      <c r="A254" s="7"/>
      <c r="B254" s="7"/>
      <c r="C254" s="7"/>
      <c r="D254" s="7"/>
      <c r="E254" s="7"/>
      <c r="F254" s="23"/>
      <c r="G254" s="7"/>
      <c r="H254" s="15">
        <f>IFERROR(__xludf.DUMMYFUNCTION("""COMPUTED_VALUE"""),43103.66666666667)</f>
        <v>43103.66667</v>
      </c>
      <c r="I254" s="16">
        <f>IFERROR(__xludf.DUMMYFUNCTION("""COMPUTED_VALUE"""),63.45)</f>
        <v>63.45</v>
      </c>
      <c r="J254" s="7"/>
    </row>
    <row r="255">
      <c r="A255" s="7"/>
      <c r="B255" s="7"/>
      <c r="C255" s="7"/>
      <c r="D255" s="7"/>
      <c r="E255" s="7"/>
      <c r="F255" s="23"/>
      <c r="G255" s="7"/>
      <c r="H255" s="15">
        <f>IFERROR(__xludf.DUMMYFUNCTION("""COMPUTED_VALUE"""),43104.66666666667)</f>
        <v>43104.66667</v>
      </c>
      <c r="I255" s="16">
        <f>IFERROR(__xludf.DUMMYFUNCTION("""COMPUTED_VALUE"""),62.92)</f>
        <v>62.92</v>
      </c>
      <c r="J255" s="7"/>
    </row>
    <row r="256">
      <c r="A256" s="7"/>
      <c r="B256" s="7"/>
      <c r="C256" s="7"/>
      <c r="D256" s="7"/>
      <c r="E256" s="7"/>
      <c r="F256" s="23"/>
      <c r="G256" s="7"/>
      <c r="H256" s="15">
        <f>IFERROR(__xludf.DUMMYFUNCTION("""COMPUTED_VALUE"""),43105.66666666667)</f>
        <v>43105.66667</v>
      </c>
      <c r="I256" s="16">
        <f>IFERROR(__xludf.DUMMYFUNCTION("""COMPUTED_VALUE"""),63.32)</f>
        <v>63.32</v>
      </c>
      <c r="J256" s="7"/>
    </row>
    <row r="257">
      <c r="A257" s="7"/>
      <c r="B257" s="7"/>
      <c r="C257" s="7"/>
      <c r="D257" s="7"/>
      <c r="E257" s="7"/>
      <c r="F257" s="23"/>
      <c r="G257" s="7"/>
      <c r="H257" s="15">
        <f>IFERROR(__xludf.DUMMYFUNCTION("""COMPUTED_VALUE"""),43108.66666666667)</f>
        <v>43108.66667</v>
      </c>
      <c r="I257" s="16">
        <f>IFERROR(__xludf.DUMMYFUNCTION("""COMPUTED_VALUE"""),67.28)</f>
        <v>67.28</v>
      </c>
      <c r="J257" s="7"/>
    </row>
    <row r="258">
      <c r="A258" s="7"/>
      <c r="B258" s="7"/>
      <c r="C258" s="7"/>
      <c r="D258" s="7"/>
      <c r="E258" s="7"/>
      <c r="F258" s="23"/>
      <c r="G258" s="7"/>
      <c r="H258" s="15">
        <f>IFERROR(__xludf.DUMMYFUNCTION("""COMPUTED_VALUE"""),43109.66666666667)</f>
        <v>43109.66667</v>
      </c>
      <c r="I258" s="16">
        <f>IFERROR(__xludf.DUMMYFUNCTION("""COMPUTED_VALUE"""),66.74)</f>
        <v>66.74</v>
      </c>
      <c r="J258" s="7"/>
    </row>
    <row r="259">
      <c r="A259" s="7"/>
      <c r="B259" s="7"/>
      <c r="C259" s="7"/>
      <c r="D259" s="7"/>
      <c r="E259" s="7"/>
      <c r="F259" s="23"/>
      <c r="G259" s="7"/>
      <c r="H259" s="15">
        <f>IFERROR(__xludf.DUMMYFUNCTION("""COMPUTED_VALUE"""),43110.66666666667)</f>
        <v>43110.66667</v>
      </c>
      <c r="I259" s="16">
        <f>IFERROR(__xludf.DUMMYFUNCTION("""COMPUTED_VALUE"""),66.96)</f>
        <v>66.96</v>
      </c>
      <c r="J259" s="7"/>
    </row>
    <row r="260">
      <c r="A260" s="7"/>
      <c r="B260" s="7"/>
      <c r="C260" s="7"/>
      <c r="D260" s="7"/>
      <c r="E260" s="7"/>
      <c r="F260" s="23"/>
      <c r="G260" s="7"/>
      <c r="H260" s="15">
        <f>IFERROR(__xludf.DUMMYFUNCTION("""COMPUTED_VALUE"""),43111.66666666667)</f>
        <v>43111.66667</v>
      </c>
      <c r="I260" s="16">
        <f>IFERROR(__xludf.DUMMYFUNCTION("""COMPUTED_VALUE"""),67.59)</f>
        <v>67.59</v>
      </c>
      <c r="J260" s="7"/>
    </row>
    <row r="261">
      <c r="A261" s="7"/>
      <c r="B261" s="7"/>
      <c r="C261" s="7"/>
      <c r="D261" s="7"/>
      <c r="E261" s="7"/>
      <c r="F261" s="23"/>
      <c r="G261" s="7"/>
      <c r="H261" s="15">
        <f>IFERROR(__xludf.DUMMYFUNCTION("""COMPUTED_VALUE"""),43112.66666666667)</f>
        <v>43112.66667</v>
      </c>
      <c r="I261" s="16">
        <f>IFERROR(__xludf.DUMMYFUNCTION("""COMPUTED_VALUE"""),67.24)</f>
        <v>67.24</v>
      </c>
      <c r="J261" s="7"/>
    </row>
    <row r="262">
      <c r="A262" s="7"/>
      <c r="B262" s="7"/>
      <c r="C262" s="7"/>
      <c r="D262" s="7"/>
      <c r="E262" s="7"/>
      <c r="F262" s="23"/>
      <c r="G262" s="7"/>
      <c r="H262" s="15">
        <f>IFERROR(__xludf.DUMMYFUNCTION("""COMPUTED_VALUE"""),43116.66666666667)</f>
        <v>43116.66667</v>
      </c>
      <c r="I262" s="16">
        <f>IFERROR(__xludf.DUMMYFUNCTION("""COMPUTED_VALUE"""),68.01)</f>
        <v>68.01</v>
      </c>
      <c r="J262" s="7"/>
    </row>
    <row r="263">
      <c r="A263" s="7"/>
      <c r="B263" s="7"/>
      <c r="C263" s="7"/>
      <c r="D263" s="7"/>
      <c r="E263" s="7"/>
      <c r="F263" s="23"/>
      <c r="G263" s="7"/>
      <c r="H263" s="15">
        <f>IFERROR(__xludf.DUMMYFUNCTION("""COMPUTED_VALUE"""),43117.66666666667)</f>
        <v>43117.66667</v>
      </c>
      <c r="I263" s="16">
        <f>IFERROR(__xludf.DUMMYFUNCTION("""COMPUTED_VALUE"""),69.43)</f>
        <v>69.43</v>
      </c>
      <c r="J263" s="7"/>
    </row>
    <row r="264">
      <c r="A264" s="7"/>
      <c r="B264" s="7"/>
      <c r="C264" s="7"/>
      <c r="D264" s="7"/>
      <c r="E264" s="7"/>
      <c r="F264" s="23"/>
      <c r="G264" s="7"/>
      <c r="H264" s="15">
        <f>IFERROR(__xludf.DUMMYFUNCTION("""COMPUTED_VALUE"""),43118.66666666667)</f>
        <v>43118.66667</v>
      </c>
      <c r="I264" s="16">
        <f>IFERROR(__xludf.DUMMYFUNCTION("""COMPUTED_VALUE"""),68.91)</f>
        <v>68.91</v>
      </c>
      <c r="J264" s="7"/>
    </row>
    <row r="265">
      <c r="A265" s="7"/>
      <c r="B265" s="7"/>
      <c r="C265" s="7"/>
      <c r="D265" s="7"/>
      <c r="E265" s="7"/>
      <c r="F265" s="23"/>
      <c r="G265" s="7"/>
      <c r="H265" s="15">
        <f>IFERROR(__xludf.DUMMYFUNCTION("""COMPUTED_VALUE"""),43119.66666666667)</f>
        <v>43119.66667</v>
      </c>
      <c r="I265" s="16">
        <f>IFERROR(__xludf.DUMMYFUNCTION("""COMPUTED_VALUE"""),70.0)</f>
        <v>70</v>
      </c>
      <c r="J265" s="7"/>
    </row>
    <row r="266">
      <c r="A266" s="7"/>
      <c r="B266" s="7"/>
      <c r="C266" s="7"/>
      <c r="D266" s="7"/>
      <c r="E266" s="7"/>
      <c r="F266" s="23"/>
      <c r="G266" s="7"/>
      <c r="H266" s="15">
        <f>IFERROR(__xludf.DUMMYFUNCTION("""COMPUTED_VALUE"""),43122.66666666667)</f>
        <v>43122.66667</v>
      </c>
      <c r="I266" s="16">
        <f>IFERROR(__xludf.DUMMYFUNCTION("""COMPUTED_VALUE"""),70.31)</f>
        <v>70.31</v>
      </c>
      <c r="J266" s="7"/>
    </row>
    <row r="267">
      <c r="A267" s="7"/>
      <c r="B267" s="7"/>
      <c r="C267" s="7"/>
      <c r="D267" s="7"/>
      <c r="E267" s="7"/>
      <c r="F267" s="23"/>
      <c r="G267" s="7"/>
      <c r="H267" s="15">
        <f>IFERROR(__xludf.DUMMYFUNCTION("""COMPUTED_VALUE"""),43123.66666666667)</f>
        <v>43123.66667</v>
      </c>
      <c r="I267" s="16">
        <f>IFERROR(__xludf.DUMMYFUNCTION("""COMPUTED_VALUE"""),70.56)</f>
        <v>70.56</v>
      </c>
      <c r="J267" s="7"/>
    </row>
    <row r="268">
      <c r="A268" s="7"/>
      <c r="B268" s="7"/>
      <c r="C268" s="7"/>
      <c r="D268" s="7"/>
      <c r="E268" s="7"/>
      <c r="F268" s="23"/>
      <c r="G268" s="7"/>
      <c r="H268" s="15">
        <f>IFERROR(__xludf.DUMMYFUNCTION("""COMPUTED_VALUE"""),43124.66666666667)</f>
        <v>43124.66667</v>
      </c>
      <c r="I268" s="16">
        <f>IFERROR(__xludf.DUMMYFUNCTION("""COMPUTED_VALUE"""),69.18)</f>
        <v>69.18</v>
      </c>
      <c r="J268" s="7"/>
    </row>
    <row r="269">
      <c r="A269" s="7"/>
      <c r="B269" s="7"/>
      <c r="C269" s="7"/>
      <c r="D269" s="7"/>
      <c r="E269" s="7"/>
      <c r="F269" s="23"/>
      <c r="G269" s="7"/>
      <c r="H269" s="15">
        <f>IFERROR(__xludf.DUMMYFUNCTION("""COMPUTED_VALUE"""),43125.66666666667)</f>
        <v>43125.66667</v>
      </c>
      <c r="I269" s="16">
        <f>IFERROR(__xludf.DUMMYFUNCTION("""COMPUTED_VALUE"""),67.53)</f>
        <v>67.53</v>
      </c>
      <c r="J269" s="7"/>
    </row>
    <row r="270">
      <c r="A270" s="7"/>
      <c r="B270" s="7"/>
      <c r="C270" s="7"/>
      <c r="D270" s="7"/>
      <c r="E270" s="7"/>
      <c r="F270" s="23"/>
      <c r="G270" s="7"/>
      <c r="H270" s="15">
        <f>IFERROR(__xludf.DUMMYFUNCTION("""COMPUTED_VALUE"""),43126.66666666667)</f>
        <v>43126.66667</v>
      </c>
      <c r="I270" s="16">
        <f>IFERROR(__xludf.DUMMYFUNCTION("""COMPUTED_VALUE"""),68.57)</f>
        <v>68.57</v>
      </c>
      <c r="J270" s="7"/>
    </row>
    <row r="271">
      <c r="A271" s="7"/>
      <c r="B271" s="7"/>
      <c r="C271" s="7"/>
      <c r="D271" s="7"/>
      <c r="E271" s="7"/>
      <c r="F271" s="23"/>
      <c r="G271" s="7"/>
      <c r="H271" s="15">
        <f>IFERROR(__xludf.DUMMYFUNCTION("""COMPUTED_VALUE"""),43129.66666666667)</f>
        <v>43129.66667</v>
      </c>
      <c r="I271" s="16">
        <f>IFERROR(__xludf.DUMMYFUNCTION("""COMPUTED_VALUE"""),69.91)</f>
        <v>69.91</v>
      </c>
      <c r="J271" s="7"/>
    </row>
    <row r="272">
      <c r="A272" s="7"/>
      <c r="B272" s="7"/>
      <c r="C272" s="7"/>
      <c r="D272" s="7"/>
      <c r="E272" s="7"/>
      <c r="F272" s="23"/>
      <c r="G272" s="7"/>
      <c r="H272" s="15">
        <f>IFERROR(__xludf.DUMMYFUNCTION("""COMPUTED_VALUE"""),43130.66666666667)</f>
        <v>43130.66667</v>
      </c>
      <c r="I272" s="16">
        <f>IFERROR(__xludf.DUMMYFUNCTION("""COMPUTED_VALUE"""),69.16)</f>
        <v>69.16</v>
      </c>
      <c r="J272" s="7"/>
    </row>
    <row r="273">
      <c r="A273" s="7"/>
      <c r="B273" s="7"/>
      <c r="C273" s="7"/>
      <c r="D273" s="7"/>
      <c r="E273" s="7"/>
      <c r="F273" s="23"/>
      <c r="G273" s="7"/>
      <c r="H273" s="15">
        <f>IFERROR(__xludf.DUMMYFUNCTION("""COMPUTED_VALUE"""),43131.66666666667)</f>
        <v>43131.66667</v>
      </c>
      <c r="I273" s="16">
        <f>IFERROR(__xludf.DUMMYFUNCTION("""COMPUTED_VALUE"""),70.86)</f>
        <v>70.86</v>
      </c>
      <c r="J273" s="7"/>
    </row>
    <row r="274">
      <c r="A274" s="7"/>
      <c r="B274" s="7"/>
      <c r="C274" s="7"/>
      <c r="D274" s="7"/>
      <c r="E274" s="7"/>
      <c r="F274" s="23"/>
      <c r="G274" s="7"/>
      <c r="H274" s="15">
        <f>IFERROR(__xludf.DUMMYFUNCTION("""COMPUTED_VALUE"""),43132.66666666667)</f>
        <v>43132.66667</v>
      </c>
      <c r="I274" s="16">
        <f>IFERROR(__xludf.DUMMYFUNCTION("""COMPUTED_VALUE"""),69.85)</f>
        <v>69.85</v>
      </c>
      <c r="J274" s="7"/>
    </row>
    <row r="275">
      <c r="A275" s="7"/>
      <c r="B275" s="7"/>
      <c r="C275" s="7"/>
      <c r="D275" s="7"/>
      <c r="E275" s="7"/>
      <c r="F275" s="23"/>
      <c r="G275" s="7"/>
      <c r="H275" s="15">
        <f>IFERROR(__xludf.DUMMYFUNCTION("""COMPUTED_VALUE"""),43133.66666666667)</f>
        <v>43133.66667</v>
      </c>
      <c r="I275" s="16">
        <f>IFERROR(__xludf.DUMMYFUNCTION("""COMPUTED_VALUE"""),68.75)</f>
        <v>68.75</v>
      </c>
      <c r="J275" s="7"/>
    </row>
    <row r="276">
      <c r="A276" s="7"/>
      <c r="B276" s="7"/>
      <c r="C276" s="7"/>
      <c r="D276" s="7"/>
      <c r="E276" s="7"/>
      <c r="F276" s="23"/>
      <c r="G276" s="7"/>
      <c r="H276" s="15">
        <f>IFERROR(__xludf.DUMMYFUNCTION("""COMPUTED_VALUE"""),43136.66666666667)</f>
        <v>43136.66667</v>
      </c>
      <c r="I276" s="16">
        <f>IFERROR(__xludf.DUMMYFUNCTION("""COMPUTED_VALUE"""),66.63)</f>
        <v>66.63</v>
      </c>
      <c r="J276" s="7"/>
    </row>
    <row r="277">
      <c r="A277" s="7"/>
      <c r="B277" s="7"/>
      <c r="C277" s="7"/>
      <c r="D277" s="7"/>
      <c r="E277" s="7"/>
      <c r="F277" s="23"/>
      <c r="G277" s="7"/>
      <c r="H277" s="15">
        <f>IFERROR(__xludf.DUMMYFUNCTION("""COMPUTED_VALUE"""),43137.66666666667)</f>
        <v>43137.66667</v>
      </c>
      <c r="I277" s="16">
        <f>IFERROR(__xludf.DUMMYFUNCTION("""COMPUTED_VALUE"""),66.79)</f>
        <v>66.79</v>
      </c>
      <c r="J277" s="7"/>
    </row>
    <row r="278">
      <c r="A278" s="7"/>
      <c r="B278" s="7"/>
      <c r="C278" s="7"/>
      <c r="D278" s="7"/>
      <c r="E278" s="7"/>
      <c r="F278" s="23"/>
      <c r="G278" s="7"/>
      <c r="H278" s="15">
        <f>IFERROR(__xludf.DUMMYFUNCTION("""COMPUTED_VALUE"""),43138.66666666667)</f>
        <v>43138.66667</v>
      </c>
      <c r="I278" s="16">
        <f>IFERROR(__xludf.DUMMYFUNCTION("""COMPUTED_VALUE"""),69.0)</f>
        <v>69</v>
      </c>
      <c r="J278" s="7"/>
    </row>
    <row r="279">
      <c r="A279" s="7"/>
      <c r="B279" s="7"/>
      <c r="C279" s="7"/>
      <c r="D279" s="7"/>
      <c r="E279" s="7"/>
      <c r="F279" s="23"/>
      <c r="G279" s="7"/>
      <c r="H279" s="15">
        <f>IFERROR(__xludf.DUMMYFUNCTION("""COMPUTED_VALUE"""),43139.66666666667)</f>
        <v>43139.66667</v>
      </c>
      <c r="I279" s="16">
        <f>IFERROR(__xludf.DUMMYFUNCTION("""COMPUTED_VALUE"""),63.05)</f>
        <v>63.05</v>
      </c>
      <c r="J279" s="7"/>
    </row>
    <row r="280">
      <c r="A280" s="7"/>
      <c r="B280" s="7"/>
      <c r="C280" s="7"/>
      <c r="D280" s="7"/>
      <c r="E280" s="7"/>
      <c r="F280" s="23"/>
      <c r="G280" s="7"/>
      <c r="H280" s="15">
        <f>IFERROR(__xludf.DUMMYFUNCTION("""COMPUTED_VALUE"""),43140.66666666667)</f>
        <v>43140.66667</v>
      </c>
      <c r="I280" s="16">
        <f>IFERROR(__xludf.DUMMYFUNCTION("""COMPUTED_VALUE"""),62.08)</f>
        <v>62.08</v>
      </c>
      <c r="J280" s="7"/>
    </row>
    <row r="281">
      <c r="A281" s="7"/>
      <c r="B281" s="7"/>
      <c r="C281" s="7"/>
      <c r="D281" s="7"/>
      <c r="E281" s="7"/>
      <c r="F281" s="23"/>
      <c r="G281" s="7"/>
      <c r="H281" s="15">
        <f>IFERROR(__xludf.DUMMYFUNCTION("""COMPUTED_VALUE"""),43143.66666666667)</f>
        <v>43143.66667</v>
      </c>
      <c r="I281" s="16">
        <f>IFERROR(__xludf.DUMMYFUNCTION("""COMPUTED_VALUE"""),63.15)</f>
        <v>63.15</v>
      </c>
      <c r="J281" s="7"/>
    </row>
    <row r="282">
      <c r="A282" s="7"/>
      <c r="B282" s="7"/>
      <c r="C282" s="7"/>
      <c r="D282" s="7"/>
      <c r="E282" s="7"/>
      <c r="F282" s="23"/>
      <c r="G282" s="7"/>
      <c r="H282" s="15">
        <f>IFERROR(__xludf.DUMMYFUNCTION("""COMPUTED_VALUE"""),43144.66666666667)</f>
        <v>43144.66667</v>
      </c>
      <c r="I282" s="16">
        <f>IFERROR(__xludf.DUMMYFUNCTION("""COMPUTED_VALUE"""),64.73)</f>
        <v>64.73</v>
      </c>
      <c r="J282" s="7"/>
    </row>
    <row r="283">
      <c r="A283" s="7"/>
      <c r="B283" s="7"/>
      <c r="C283" s="7"/>
      <c r="D283" s="7"/>
      <c r="E283" s="7"/>
      <c r="F283" s="23"/>
      <c r="G283" s="7"/>
      <c r="H283" s="15">
        <f>IFERROR(__xludf.DUMMYFUNCTION("""COMPUTED_VALUE"""),43145.66666666667)</f>
        <v>43145.66667</v>
      </c>
      <c r="I283" s="16">
        <f>IFERROR(__xludf.DUMMYFUNCTION("""COMPUTED_VALUE"""),64.46)</f>
        <v>64.46</v>
      </c>
      <c r="J283" s="7"/>
    </row>
    <row r="284">
      <c r="A284" s="7"/>
      <c r="B284" s="7"/>
      <c r="C284" s="7"/>
      <c r="D284" s="7"/>
      <c r="E284" s="7"/>
      <c r="F284" s="23"/>
      <c r="G284" s="7"/>
      <c r="H284" s="15">
        <f>IFERROR(__xludf.DUMMYFUNCTION("""COMPUTED_VALUE"""),43146.66666666667)</f>
        <v>43146.66667</v>
      </c>
      <c r="I284" s="16">
        <f>IFERROR(__xludf.DUMMYFUNCTION("""COMPUTED_VALUE"""),66.81)</f>
        <v>66.81</v>
      </c>
      <c r="J284" s="7"/>
    </row>
    <row r="285">
      <c r="A285" s="7"/>
      <c r="B285" s="7"/>
      <c r="C285" s="7"/>
      <c r="D285" s="7"/>
      <c r="E285" s="7"/>
      <c r="F285" s="23"/>
      <c r="G285" s="7"/>
      <c r="H285" s="15">
        <f>IFERROR(__xludf.DUMMYFUNCTION("""COMPUTED_VALUE"""),43147.66666666667)</f>
        <v>43147.66667</v>
      </c>
      <c r="I285" s="16">
        <f>IFERROR(__xludf.DUMMYFUNCTION("""COMPUTED_VALUE"""),67.1)</f>
        <v>67.1</v>
      </c>
      <c r="J285" s="7"/>
    </row>
    <row r="286">
      <c r="A286" s="7"/>
      <c r="B286" s="7"/>
      <c r="C286" s="7"/>
      <c r="D286" s="7"/>
      <c r="E286" s="7"/>
      <c r="F286" s="23"/>
      <c r="G286" s="7"/>
      <c r="H286" s="15">
        <f>IFERROR(__xludf.DUMMYFUNCTION("""COMPUTED_VALUE"""),43151.66666666667)</f>
        <v>43151.66667</v>
      </c>
      <c r="I286" s="16">
        <f>IFERROR(__xludf.DUMMYFUNCTION("""COMPUTED_VALUE"""),66.95)</f>
        <v>66.95</v>
      </c>
      <c r="J286" s="7"/>
    </row>
    <row r="287">
      <c r="A287" s="7"/>
      <c r="B287" s="7"/>
      <c r="C287" s="7"/>
      <c r="D287" s="7"/>
      <c r="E287" s="7"/>
      <c r="F287" s="23"/>
      <c r="G287" s="7"/>
      <c r="H287" s="15">
        <f>IFERROR(__xludf.DUMMYFUNCTION("""COMPUTED_VALUE"""),43152.66666666667)</f>
        <v>43152.66667</v>
      </c>
      <c r="I287" s="16">
        <f>IFERROR(__xludf.DUMMYFUNCTION("""COMPUTED_VALUE"""),66.66)</f>
        <v>66.66</v>
      </c>
      <c r="J287" s="7"/>
    </row>
    <row r="288">
      <c r="A288" s="7"/>
      <c r="B288" s="7"/>
      <c r="C288" s="7"/>
      <c r="D288" s="7"/>
      <c r="E288" s="7"/>
      <c r="F288" s="23"/>
      <c r="G288" s="7"/>
      <c r="H288" s="15">
        <f>IFERROR(__xludf.DUMMYFUNCTION("""COMPUTED_VALUE"""),43153.66666666667)</f>
        <v>43153.66667</v>
      </c>
      <c r="I288" s="16">
        <f>IFERROR(__xludf.DUMMYFUNCTION("""COMPUTED_VALUE"""),69.23)</f>
        <v>69.23</v>
      </c>
      <c r="J288" s="7"/>
    </row>
    <row r="289">
      <c r="A289" s="7"/>
      <c r="B289" s="7"/>
      <c r="C289" s="7"/>
      <c r="D289" s="7"/>
      <c r="E289" s="7"/>
      <c r="F289" s="23"/>
      <c r="G289" s="7"/>
      <c r="H289" s="15">
        <f>IFERROR(__xludf.DUMMYFUNCTION("""COMPUTED_VALUE"""),43154.66666666667)</f>
        <v>43154.66667</v>
      </c>
      <c r="I289" s="16">
        <f>IFERROR(__xludf.DUMMYFUNCTION("""COMPUTED_VALUE"""),70.41)</f>
        <v>70.41</v>
      </c>
      <c r="J289" s="7"/>
    </row>
    <row r="290">
      <c r="A290" s="7"/>
      <c r="B290" s="7"/>
      <c r="C290" s="7"/>
      <c r="D290" s="7"/>
      <c r="E290" s="7"/>
      <c r="F290" s="23"/>
      <c r="G290" s="7"/>
      <c r="H290" s="15">
        <f>IFERROR(__xludf.DUMMYFUNCTION("""COMPUTED_VALUE"""),43157.66666666667)</f>
        <v>43157.66667</v>
      </c>
      <c r="I290" s="16">
        <f>IFERROR(__xludf.DUMMYFUNCTION("""COMPUTED_VALUE"""),71.48)</f>
        <v>71.48</v>
      </c>
      <c r="J290" s="7"/>
    </row>
    <row r="291">
      <c r="A291" s="7"/>
      <c r="B291" s="7"/>
      <c r="C291" s="7"/>
      <c r="D291" s="7"/>
      <c r="E291" s="7"/>
      <c r="F291" s="23"/>
      <c r="G291" s="7"/>
      <c r="H291" s="15">
        <f>IFERROR(__xludf.DUMMYFUNCTION("""COMPUTED_VALUE"""),43158.66666666667)</f>
        <v>43158.66667</v>
      </c>
      <c r="I291" s="16">
        <f>IFERROR(__xludf.DUMMYFUNCTION("""COMPUTED_VALUE"""),70.2)</f>
        <v>70.2</v>
      </c>
      <c r="J291" s="7"/>
    </row>
    <row r="292">
      <c r="A292" s="7"/>
      <c r="B292" s="7"/>
      <c r="C292" s="7"/>
      <c r="D292" s="7"/>
      <c r="E292" s="7"/>
      <c r="F292" s="23"/>
      <c r="G292" s="7"/>
      <c r="H292" s="15">
        <f>IFERROR(__xludf.DUMMYFUNCTION("""COMPUTED_VALUE"""),43159.66666666667)</f>
        <v>43159.66667</v>
      </c>
      <c r="I292" s="16">
        <f>IFERROR(__xludf.DUMMYFUNCTION("""COMPUTED_VALUE"""),68.61)</f>
        <v>68.61</v>
      </c>
      <c r="J292" s="7"/>
    </row>
    <row r="293">
      <c r="A293" s="7"/>
      <c r="B293" s="7"/>
      <c r="C293" s="7"/>
      <c r="D293" s="7"/>
      <c r="E293" s="7"/>
      <c r="F293" s="23"/>
      <c r="G293" s="7"/>
      <c r="H293" s="15">
        <f>IFERROR(__xludf.DUMMYFUNCTION("""COMPUTED_VALUE"""),43160.66666666667)</f>
        <v>43160.66667</v>
      </c>
      <c r="I293" s="16">
        <f>IFERROR(__xludf.DUMMYFUNCTION("""COMPUTED_VALUE"""),66.19)</f>
        <v>66.19</v>
      </c>
      <c r="J293" s="7"/>
    </row>
    <row r="294">
      <c r="A294" s="7"/>
      <c r="B294" s="7"/>
      <c r="C294" s="7"/>
      <c r="D294" s="7"/>
      <c r="E294" s="7"/>
      <c r="F294" s="23"/>
      <c r="G294" s="7"/>
      <c r="H294" s="15">
        <f>IFERROR(__xludf.DUMMYFUNCTION("""COMPUTED_VALUE"""),43161.66666666667)</f>
        <v>43161.66667</v>
      </c>
      <c r="I294" s="16">
        <f>IFERROR(__xludf.DUMMYFUNCTION("""COMPUTED_VALUE"""),67.02)</f>
        <v>67.02</v>
      </c>
      <c r="J294" s="7"/>
    </row>
    <row r="295">
      <c r="A295" s="7"/>
      <c r="B295" s="7"/>
      <c r="C295" s="7"/>
      <c r="D295" s="7"/>
      <c r="E295" s="7"/>
      <c r="F295" s="23"/>
      <c r="G295" s="7"/>
      <c r="H295" s="15">
        <f>IFERROR(__xludf.DUMMYFUNCTION("""COMPUTED_VALUE"""),43164.66666666667)</f>
        <v>43164.66667</v>
      </c>
      <c r="I295" s="16">
        <f>IFERROR(__xludf.DUMMYFUNCTION("""COMPUTED_VALUE"""),66.67)</f>
        <v>66.67</v>
      </c>
      <c r="J295" s="7"/>
    </row>
    <row r="296">
      <c r="A296" s="7"/>
      <c r="B296" s="7"/>
      <c r="C296" s="7"/>
      <c r="D296" s="7"/>
      <c r="E296" s="7"/>
      <c r="F296" s="23"/>
      <c r="G296" s="7"/>
      <c r="H296" s="15">
        <f>IFERROR(__xludf.DUMMYFUNCTION("""COMPUTED_VALUE"""),43165.66666666667)</f>
        <v>43165.66667</v>
      </c>
      <c r="I296" s="16">
        <f>IFERROR(__xludf.DUMMYFUNCTION("""COMPUTED_VALUE"""),65.64)</f>
        <v>65.64</v>
      </c>
      <c r="J296" s="7"/>
    </row>
    <row r="297">
      <c r="A297" s="7"/>
      <c r="B297" s="7"/>
      <c r="C297" s="7"/>
      <c r="D297" s="7"/>
      <c r="E297" s="7"/>
      <c r="F297" s="23"/>
      <c r="G297" s="7"/>
      <c r="H297" s="15">
        <f>IFERROR(__xludf.DUMMYFUNCTION("""COMPUTED_VALUE"""),43166.66666666667)</f>
        <v>43166.66667</v>
      </c>
      <c r="I297" s="16">
        <f>IFERROR(__xludf.DUMMYFUNCTION("""COMPUTED_VALUE"""),66.46)</f>
        <v>66.46</v>
      </c>
      <c r="J297" s="7"/>
    </row>
    <row r="298">
      <c r="A298" s="7"/>
      <c r="B298" s="7"/>
      <c r="C298" s="7"/>
      <c r="D298" s="7"/>
      <c r="E298" s="7"/>
      <c r="F298" s="23"/>
      <c r="G298" s="7"/>
      <c r="H298" s="15">
        <f>IFERROR(__xludf.DUMMYFUNCTION("""COMPUTED_VALUE"""),43167.66666666667)</f>
        <v>43167.66667</v>
      </c>
      <c r="I298" s="16">
        <f>IFERROR(__xludf.DUMMYFUNCTION("""COMPUTED_VALUE"""),65.82)</f>
        <v>65.82</v>
      </c>
      <c r="J298" s="7"/>
    </row>
    <row r="299">
      <c r="A299" s="7"/>
      <c r="B299" s="7"/>
      <c r="C299" s="7"/>
      <c r="D299" s="7"/>
      <c r="E299" s="7"/>
      <c r="F299" s="23"/>
      <c r="G299" s="7"/>
      <c r="H299" s="15">
        <f>IFERROR(__xludf.DUMMYFUNCTION("""COMPUTED_VALUE"""),43168.66666666667)</f>
        <v>43168.66667</v>
      </c>
      <c r="I299" s="16">
        <f>IFERROR(__xludf.DUMMYFUNCTION("""COMPUTED_VALUE"""),65.43)</f>
        <v>65.43</v>
      </c>
      <c r="J299" s="7"/>
    </row>
    <row r="300">
      <c r="A300" s="7"/>
      <c r="B300" s="7"/>
      <c r="C300" s="7"/>
      <c r="D300" s="7"/>
      <c r="E300" s="7"/>
      <c r="F300" s="23"/>
      <c r="G300" s="7"/>
      <c r="H300" s="15">
        <f>IFERROR(__xludf.DUMMYFUNCTION("""COMPUTED_VALUE"""),43171.66666666667)</f>
        <v>43171.66667</v>
      </c>
      <c r="I300" s="16">
        <f>IFERROR(__xludf.DUMMYFUNCTION("""COMPUTED_VALUE"""),69.1)</f>
        <v>69.1</v>
      </c>
      <c r="J300" s="7"/>
    </row>
    <row r="301">
      <c r="A301" s="7"/>
      <c r="B301" s="7"/>
      <c r="C301" s="7"/>
      <c r="D301" s="7"/>
      <c r="E301" s="7"/>
      <c r="F301" s="23"/>
      <c r="G301" s="7"/>
      <c r="H301" s="15">
        <f>IFERROR(__xludf.DUMMYFUNCTION("""COMPUTED_VALUE"""),43172.66666666667)</f>
        <v>43172.66667</v>
      </c>
      <c r="I301" s="16">
        <f>IFERROR(__xludf.DUMMYFUNCTION("""COMPUTED_VALUE"""),68.37)</f>
        <v>68.37</v>
      </c>
      <c r="J301" s="7"/>
    </row>
    <row r="302">
      <c r="A302" s="7"/>
      <c r="B302" s="7"/>
      <c r="C302" s="7"/>
      <c r="D302" s="7"/>
      <c r="E302" s="7"/>
      <c r="F302" s="23"/>
      <c r="G302" s="7"/>
      <c r="H302" s="15">
        <f>IFERROR(__xludf.DUMMYFUNCTION("""COMPUTED_VALUE"""),43173.66666666667)</f>
        <v>43173.66667</v>
      </c>
      <c r="I302" s="16">
        <f>IFERROR(__xludf.DUMMYFUNCTION("""COMPUTED_VALUE"""),65.33)</f>
        <v>65.33</v>
      </c>
      <c r="J302" s="7"/>
    </row>
    <row r="303">
      <c r="A303" s="7"/>
      <c r="B303" s="7"/>
      <c r="C303" s="7"/>
      <c r="D303" s="7"/>
      <c r="E303" s="7"/>
      <c r="F303" s="23"/>
      <c r="G303" s="7"/>
      <c r="H303" s="15">
        <f>IFERROR(__xludf.DUMMYFUNCTION("""COMPUTED_VALUE"""),43174.66666666667)</f>
        <v>43174.66667</v>
      </c>
      <c r="I303" s="16">
        <f>IFERROR(__xludf.DUMMYFUNCTION("""COMPUTED_VALUE"""),65.12)</f>
        <v>65.12</v>
      </c>
      <c r="J303" s="7"/>
    </row>
    <row r="304">
      <c r="A304" s="7"/>
      <c r="B304" s="7"/>
      <c r="C304" s="7"/>
      <c r="D304" s="7"/>
      <c r="E304" s="7"/>
      <c r="F304" s="23"/>
      <c r="G304" s="7"/>
      <c r="H304" s="15">
        <f>IFERROR(__xludf.DUMMYFUNCTION("""COMPUTED_VALUE"""),43175.66666666667)</f>
        <v>43175.66667</v>
      </c>
      <c r="I304" s="16">
        <f>IFERROR(__xludf.DUMMYFUNCTION("""COMPUTED_VALUE"""),64.27)</f>
        <v>64.27</v>
      </c>
      <c r="J304" s="7"/>
    </row>
    <row r="305">
      <c r="A305" s="7"/>
      <c r="B305" s="7"/>
      <c r="C305" s="7"/>
      <c r="D305" s="7"/>
      <c r="E305" s="7"/>
      <c r="F305" s="23"/>
      <c r="G305" s="7"/>
      <c r="H305" s="15">
        <f>IFERROR(__xludf.DUMMYFUNCTION("""COMPUTED_VALUE"""),43178.66666666667)</f>
        <v>43178.66667</v>
      </c>
      <c r="I305" s="16">
        <f>IFERROR(__xludf.DUMMYFUNCTION("""COMPUTED_VALUE"""),62.71)</f>
        <v>62.71</v>
      </c>
      <c r="J305" s="7"/>
    </row>
    <row r="306">
      <c r="A306" s="7"/>
      <c r="B306" s="7"/>
      <c r="C306" s="7"/>
      <c r="D306" s="7"/>
      <c r="E306" s="7"/>
      <c r="F306" s="23"/>
      <c r="G306" s="7"/>
      <c r="H306" s="15">
        <f>IFERROR(__xludf.DUMMYFUNCTION("""COMPUTED_VALUE"""),43179.66666666667)</f>
        <v>43179.66667</v>
      </c>
      <c r="I306" s="16">
        <f>IFERROR(__xludf.DUMMYFUNCTION("""COMPUTED_VALUE"""),62.11)</f>
        <v>62.11</v>
      </c>
      <c r="J306" s="7"/>
    </row>
    <row r="307">
      <c r="A307" s="7"/>
      <c r="B307" s="7"/>
      <c r="C307" s="7"/>
      <c r="D307" s="7"/>
      <c r="E307" s="7"/>
      <c r="F307" s="23"/>
      <c r="G307" s="7"/>
      <c r="H307" s="15">
        <f>IFERROR(__xludf.DUMMYFUNCTION("""COMPUTED_VALUE"""),43180.66666666667)</f>
        <v>43180.66667</v>
      </c>
      <c r="I307" s="16">
        <f>IFERROR(__xludf.DUMMYFUNCTION("""COMPUTED_VALUE"""),63.31)</f>
        <v>63.31</v>
      </c>
      <c r="J307" s="7"/>
    </row>
    <row r="308">
      <c r="A308" s="7"/>
      <c r="B308" s="7"/>
      <c r="C308" s="7"/>
      <c r="D308" s="7"/>
      <c r="E308" s="7"/>
      <c r="F308" s="23"/>
      <c r="G308" s="7"/>
      <c r="H308" s="15">
        <f>IFERROR(__xludf.DUMMYFUNCTION("""COMPUTED_VALUE"""),43181.66666666667)</f>
        <v>43181.66667</v>
      </c>
      <c r="I308" s="16">
        <f>IFERROR(__xludf.DUMMYFUNCTION("""COMPUTED_VALUE"""),61.82)</f>
        <v>61.82</v>
      </c>
      <c r="J308" s="7"/>
    </row>
    <row r="309">
      <c r="A309" s="7"/>
      <c r="B309" s="7"/>
      <c r="C309" s="7"/>
      <c r="D309" s="7"/>
      <c r="E309" s="7"/>
      <c r="F309" s="23"/>
      <c r="G309" s="7"/>
      <c r="H309" s="15">
        <f>IFERROR(__xludf.DUMMYFUNCTION("""COMPUTED_VALUE"""),43182.66666666667)</f>
        <v>43182.66667</v>
      </c>
      <c r="I309" s="16">
        <f>IFERROR(__xludf.DUMMYFUNCTION("""COMPUTED_VALUE"""),60.31)</f>
        <v>60.31</v>
      </c>
      <c r="J309" s="7"/>
    </row>
    <row r="310">
      <c r="A310" s="7"/>
      <c r="B310" s="7"/>
      <c r="C310" s="7"/>
      <c r="D310" s="7"/>
      <c r="E310" s="7"/>
      <c r="F310" s="23"/>
      <c r="G310" s="7"/>
      <c r="H310" s="15">
        <f>IFERROR(__xludf.DUMMYFUNCTION("""COMPUTED_VALUE"""),43185.66666666667)</f>
        <v>43185.66667</v>
      </c>
      <c r="I310" s="16">
        <f>IFERROR(__xludf.DUMMYFUNCTION("""COMPUTED_VALUE"""),60.84)</f>
        <v>60.84</v>
      </c>
      <c r="J310" s="7"/>
    </row>
    <row r="311">
      <c r="A311" s="7"/>
      <c r="B311" s="7"/>
      <c r="C311" s="7"/>
      <c r="D311" s="7"/>
      <c r="E311" s="7"/>
      <c r="F311" s="23"/>
      <c r="G311" s="7"/>
      <c r="H311" s="15">
        <f>IFERROR(__xludf.DUMMYFUNCTION("""COMPUTED_VALUE"""),43186.66666666667)</f>
        <v>43186.66667</v>
      </c>
      <c r="I311" s="16">
        <f>IFERROR(__xludf.DUMMYFUNCTION("""COMPUTED_VALUE"""),55.84)</f>
        <v>55.84</v>
      </c>
      <c r="J311" s="7"/>
    </row>
    <row r="312">
      <c r="A312" s="7"/>
      <c r="B312" s="7"/>
      <c r="C312" s="7"/>
      <c r="D312" s="7"/>
      <c r="E312" s="7"/>
      <c r="F312" s="23"/>
      <c r="G312" s="7"/>
      <c r="H312" s="15">
        <f>IFERROR(__xludf.DUMMYFUNCTION("""COMPUTED_VALUE"""),43187.66666666667)</f>
        <v>43187.66667</v>
      </c>
      <c r="I312" s="16">
        <f>IFERROR(__xludf.DUMMYFUNCTION("""COMPUTED_VALUE"""),51.56)</f>
        <v>51.56</v>
      </c>
      <c r="J312" s="7"/>
    </row>
    <row r="313">
      <c r="A313" s="7"/>
      <c r="B313" s="7"/>
      <c r="C313" s="7"/>
      <c r="D313" s="7"/>
      <c r="E313" s="7"/>
      <c r="F313" s="23"/>
      <c r="G313" s="7"/>
      <c r="H313" s="15">
        <f>IFERROR(__xludf.DUMMYFUNCTION("""COMPUTED_VALUE"""),43188.66666666667)</f>
        <v>43188.66667</v>
      </c>
      <c r="I313" s="16">
        <f>IFERROR(__xludf.DUMMYFUNCTION("""COMPUTED_VALUE"""),53.23)</f>
        <v>53.23</v>
      </c>
      <c r="J313" s="7"/>
    </row>
    <row r="314">
      <c r="A314" s="7"/>
      <c r="B314" s="7"/>
      <c r="C314" s="7"/>
      <c r="D314" s="7"/>
      <c r="E314" s="7"/>
      <c r="F314" s="23"/>
      <c r="G314" s="7"/>
      <c r="H314" s="15">
        <f>IFERROR(__xludf.DUMMYFUNCTION("""COMPUTED_VALUE"""),43192.66666666667)</f>
        <v>43192.66667</v>
      </c>
      <c r="I314" s="16">
        <f>IFERROR(__xludf.DUMMYFUNCTION("""COMPUTED_VALUE"""),50.5)</f>
        <v>50.5</v>
      </c>
      <c r="J314" s="7"/>
    </row>
    <row r="315">
      <c r="A315" s="7"/>
      <c r="B315" s="7"/>
      <c r="C315" s="7"/>
      <c r="D315" s="7"/>
      <c r="E315" s="7"/>
      <c r="F315" s="23"/>
      <c r="G315" s="7"/>
      <c r="H315" s="15">
        <f>IFERROR(__xludf.DUMMYFUNCTION("""COMPUTED_VALUE"""),43193.66666666667)</f>
        <v>43193.66667</v>
      </c>
      <c r="I315" s="16">
        <f>IFERROR(__xludf.DUMMYFUNCTION("""COMPUTED_VALUE"""),53.51)</f>
        <v>53.51</v>
      </c>
      <c r="J315" s="7"/>
    </row>
    <row r="316">
      <c r="A316" s="7"/>
      <c r="B316" s="7"/>
      <c r="C316" s="7"/>
      <c r="D316" s="7"/>
      <c r="E316" s="7"/>
      <c r="F316" s="23"/>
      <c r="G316" s="7"/>
      <c r="H316" s="15">
        <f>IFERROR(__xludf.DUMMYFUNCTION("""COMPUTED_VALUE"""),43194.66666666667)</f>
        <v>43194.66667</v>
      </c>
      <c r="I316" s="16">
        <f>IFERROR(__xludf.DUMMYFUNCTION("""COMPUTED_VALUE"""),57.39)</f>
        <v>57.39</v>
      </c>
      <c r="J316" s="7"/>
    </row>
    <row r="317">
      <c r="A317" s="7"/>
      <c r="B317" s="7"/>
      <c r="C317" s="7"/>
      <c r="D317" s="7"/>
      <c r="E317" s="7"/>
      <c r="F317" s="23"/>
      <c r="G317" s="7"/>
      <c r="H317" s="15">
        <f>IFERROR(__xludf.DUMMYFUNCTION("""COMPUTED_VALUE"""),43195.66666666667)</f>
        <v>43195.66667</v>
      </c>
      <c r="I317" s="16">
        <f>IFERROR(__xludf.DUMMYFUNCTION("""COMPUTED_VALUE"""),61.14)</f>
        <v>61.14</v>
      </c>
      <c r="J317" s="7"/>
    </row>
    <row r="318">
      <c r="A318" s="7"/>
      <c r="B318" s="7"/>
      <c r="C318" s="7"/>
      <c r="D318" s="7"/>
      <c r="E318" s="7"/>
      <c r="F318" s="23"/>
      <c r="G318" s="7"/>
      <c r="H318" s="15">
        <f>IFERROR(__xludf.DUMMYFUNCTION("""COMPUTED_VALUE"""),43196.66666666667)</f>
        <v>43196.66667</v>
      </c>
      <c r="I318" s="16">
        <f>IFERROR(__xludf.DUMMYFUNCTION("""COMPUTED_VALUE"""),59.86)</f>
        <v>59.86</v>
      </c>
      <c r="J318" s="7"/>
    </row>
    <row r="319">
      <c r="A319" s="7"/>
      <c r="B319" s="7"/>
      <c r="C319" s="7"/>
      <c r="D319" s="7"/>
      <c r="E319" s="7"/>
      <c r="F319" s="23"/>
      <c r="G319" s="7"/>
      <c r="H319" s="15">
        <f>IFERROR(__xludf.DUMMYFUNCTION("""COMPUTED_VALUE"""),43199.66666666667)</f>
        <v>43199.66667</v>
      </c>
      <c r="I319" s="16">
        <f>IFERROR(__xludf.DUMMYFUNCTION("""COMPUTED_VALUE"""),57.93)</f>
        <v>57.93</v>
      </c>
      <c r="J319" s="7"/>
    </row>
    <row r="320">
      <c r="A320" s="7"/>
      <c r="B320" s="7"/>
      <c r="C320" s="7"/>
      <c r="D320" s="7"/>
      <c r="E320" s="7"/>
      <c r="F320" s="23"/>
      <c r="G320" s="7"/>
      <c r="H320" s="15">
        <f>IFERROR(__xludf.DUMMYFUNCTION("""COMPUTED_VALUE"""),43200.66666666667)</f>
        <v>43200.66667</v>
      </c>
      <c r="I320" s="16">
        <f>IFERROR(__xludf.DUMMYFUNCTION("""COMPUTED_VALUE"""),60.94)</f>
        <v>60.94</v>
      </c>
      <c r="J320" s="7"/>
    </row>
    <row r="321">
      <c r="A321" s="7"/>
      <c r="B321" s="7"/>
      <c r="C321" s="7"/>
      <c r="D321" s="7"/>
      <c r="E321" s="7"/>
      <c r="F321" s="23"/>
      <c r="G321" s="7"/>
      <c r="H321" s="15">
        <f>IFERROR(__xludf.DUMMYFUNCTION("""COMPUTED_VALUE"""),43201.66666666667)</f>
        <v>43201.66667</v>
      </c>
      <c r="I321" s="16">
        <f>IFERROR(__xludf.DUMMYFUNCTION("""COMPUTED_VALUE"""),60.19)</f>
        <v>60.19</v>
      </c>
      <c r="J321" s="7"/>
    </row>
    <row r="322">
      <c r="A322" s="7"/>
      <c r="B322" s="7"/>
      <c r="C322" s="7"/>
      <c r="D322" s="7"/>
      <c r="E322" s="7"/>
      <c r="F322" s="23"/>
      <c r="G322" s="7"/>
      <c r="H322" s="15">
        <f>IFERROR(__xludf.DUMMYFUNCTION("""COMPUTED_VALUE"""),43202.66666666667)</f>
        <v>43202.66667</v>
      </c>
      <c r="I322" s="16">
        <f>IFERROR(__xludf.DUMMYFUNCTION("""COMPUTED_VALUE"""),58.82)</f>
        <v>58.82</v>
      </c>
      <c r="J322" s="7"/>
    </row>
    <row r="323">
      <c r="A323" s="7"/>
      <c r="B323" s="7"/>
      <c r="C323" s="7"/>
      <c r="D323" s="7"/>
      <c r="E323" s="7"/>
      <c r="F323" s="23"/>
      <c r="G323" s="7"/>
      <c r="H323" s="15">
        <f>IFERROR(__xludf.DUMMYFUNCTION("""COMPUTED_VALUE"""),43203.66666666667)</f>
        <v>43203.66667</v>
      </c>
      <c r="I323" s="16">
        <f>IFERROR(__xludf.DUMMYFUNCTION("""COMPUTED_VALUE"""),60.07)</f>
        <v>60.07</v>
      </c>
      <c r="J323" s="7"/>
    </row>
    <row r="324">
      <c r="A324" s="7"/>
      <c r="B324" s="7"/>
      <c r="C324" s="7"/>
      <c r="D324" s="7"/>
      <c r="E324" s="7"/>
      <c r="F324" s="23"/>
      <c r="G324" s="7"/>
      <c r="H324" s="15">
        <f>IFERROR(__xludf.DUMMYFUNCTION("""COMPUTED_VALUE"""),43206.66666666667)</f>
        <v>43206.66667</v>
      </c>
      <c r="I324" s="16">
        <f>IFERROR(__xludf.DUMMYFUNCTION("""COMPUTED_VALUE"""),58.24)</f>
        <v>58.24</v>
      </c>
      <c r="J324" s="7"/>
    </row>
    <row r="325">
      <c r="A325" s="7"/>
      <c r="B325" s="7"/>
      <c r="C325" s="7"/>
      <c r="D325" s="7"/>
      <c r="E325" s="7"/>
      <c r="F325" s="23"/>
      <c r="G325" s="7"/>
      <c r="H325" s="15">
        <f>IFERROR(__xludf.DUMMYFUNCTION("""COMPUTED_VALUE"""),43207.66666666667)</f>
        <v>43207.66667</v>
      </c>
      <c r="I325" s="16">
        <f>IFERROR(__xludf.DUMMYFUNCTION("""COMPUTED_VALUE"""),57.54)</f>
        <v>57.54</v>
      </c>
      <c r="J325" s="7"/>
    </row>
    <row r="326">
      <c r="A326" s="7"/>
      <c r="B326" s="7"/>
      <c r="C326" s="7"/>
      <c r="D326" s="7"/>
      <c r="E326" s="7"/>
      <c r="F326" s="23"/>
      <c r="G326" s="7"/>
      <c r="H326" s="15">
        <f>IFERROR(__xludf.DUMMYFUNCTION("""COMPUTED_VALUE"""),43208.66666666667)</f>
        <v>43208.66667</v>
      </c>
      <c r="I326" s="16">
        <f>IFERROR(__xludf.DUMMYFUNCTION("""COMPUTED_VALUE"""),58.67)</f>
        <v>58.67</v>
      </c>
      <c r="J326" s="7"/>
    </row>
    <row r="327">
      <c r="A327" s="7"/>
      <c r="B327" s="7"/>
      <c r="C327" s="7"/>
      <c r="D327" s="7"/>
      <c r="E327" s="7"/>
      <c r="F327" s="23"/>
      <c r="G327" s="7"/>
      <c r="H327" s="15">
        <f>IFERROR(__xludf.DUMMYFUNCTION("""COMPUTED_VALUE"""),43209.66666666667)</f>
        <v>43209.66667</v>
      </c>
      <c r="I327" s="16">
        <f>IFERROR(__xludf.DUMMYFUNCTION("""COMPUTED_VALUE"""),60.02)</f>
        <v>60.02</v>
      </c>
      <c r="J327" s="7"/>
    </row>
    <row r="328">
      <c r="A328" s="7"/>
      <c r="B328" s="7"/>
      <c r="C328" s="7"/>
      <c r="D328" s="7"/>
      <c r="E328" s="7"/>
      <c r="F328" s="23"/>
      <c r="G328" s="7"/>
      <c r="H328" s="15">
        <f>IFERROR(__xludf.DUMMYFUNCTION("""COMPUTED_VALUE"""),43210.66666666667)</f>
        <v>43210.66667</v>
      </c>
      <c r="I328" s="16">
        <f>IFERROR(__xludf.DUMMYFUNCTION("""COMPUTED_VALUE"""),58.05)</f>
        <v>58.05</v>
      </c>
      <c r="J328" s="7"/>
    </row>
    <row r="329">
      <c r="A329" s="7"/>
      <c r="B329" s="7"/>
      <c r="C329" s="7"/>
      <c r="D329" s="7"/>
      <c r="E329" s="7"/>
      <c r="F329" s="23"/>
      <c r="G329" s="7"/>
      <c r="H329" s="15">
        <f>IFERROR(__xludf.DUMMYFUNCTION("""COMPUTED_VALUE"""),43213.66666666667)</f>
        <v>43213.66667</v>
      </c>
      <c r="I329" s="16">
        <f>IFERROR(__xludf.DUMMYFUNCTION("""COMPUTED_VALUE"""),56.67)</f>
        <v>56.67</v>
      </c>
      <c r="J329" s="7"/>
    </row>
    <row r="330">
      <c r="A330" s="7"/>
      <c r="B330" s="7"/>
      <c r="C330" s="7"/>
      <c r="D330" s="7"/>
      <c r="E330" s="7"/>
      <c r="F330" s="23"/>
      <c r="G330" s="7"/>
      <c r="H330" s="15">
        <f>IFERROR(__xludf.DUMMYFUNCTION("""COMPUTED_VALUE"""),43214.66666666667)</f>
        <v>43214.66667</v>
      </c>
      <c r="I330" s="16">
        <f>IFERROR(__xludf.DUMMYFUNCTION("""COMPUTED_VALUE"""),56.69)</f>
        <v>56.69</v>
      </c>
      <c r="J330" s="7"/>
    </row>
    <row r="331">
      <c r="A331" s="7"/>
      <c r="B331" s="7"/>
      <c r="C331" s="7"/>
      <c r="D331" s="7"/>
      <c r="E331" s="7"/>
      <c r="F331" s="23"/>
      <c r="G331" s="7"/>
      <c r="H331" s="15">
        <f>IFERROR(__xludf.DUMMYFUNCTION("""COMPUTED_VALUE"""),43215.66666666667)</f>
        <v>43215.66667</v>
      </c>
      <c r="I331" s="16">
        <f>IFERROR(__xludf.DUMMYFUNCTION("""COMPUTED_VALUE"""),56.14)</f>
        <v>56.14</v>
      </c>
      <c r="J331" s="7"/>
    </row>
    <row r="332">
      <c r="A332" s="7"/>
      <c r="B332" s="7"/>
      <c r="C332" s="7"/>
      <c r="D332" s="7"/>
      <c r="E332" s="7"/>
      <c r="F332" s="23"/>
      <c r="G332" s="7"/>
      <c r="H332" s="15">
        <f>IFERROR(__xludf.DUMMYFUNCTION("""COMPUTED_VALUE"""),43216.66666666667)</f>
        <v>43216.66667</v>
      </c>
      <c r="I332" s="16">
        <f>IFERROR(__xludf.DUMMYFUNCTION("""COMPUTED_VALUE"""),57.1)</f>
        <v>57.1</v>
      </c>
      <c r="J332" s="7"/>
    </row>
    <row r="333">
      <c r="A333" s="7"/>
      <c r="B333" s="7"/>
      <c r="C333" s="7"/>
      <c r="D333" s="7"/>
      <c r="E333" s="7"/>
      <c r="F333" s="23"/>
      <c r="G333" s="7"/>
      <c r="H333" s="15">
        <f>IFERROR(__xludf.DUMMYFUNCTION("""COMPUTED_VALUE"""),43217.66666666667)</f>
        <v>43217.66667</v>
      </c>
      <c r="I333" s="16">
        <f>IFERROR(__xludf.DUMMYFUNCTION("""COMPUTED_VALUE"""),58.82)</f>
        <v>58.82</v>
      </c>
      <c r="J333" s="7"/>
    </row>
    <row r="334">
      <c r="A334" s="7"/>
      <c r="B334" s="7"/>
      <c r="C334" s="7"/>
      <c r="D334" s="7"/>
      <c r="E334" s="7"/>
      <c r="F334" s="23"/>
      <c r="G334" s="7"/>
      <c r="H334" s="15">
        <f>IFERROR(__xludf.DUMMYFUNCTION("""COMPUTED_VALUE"""),43220.66666666667)</f>
        <v>43220.66667</v>
      </c>
      <c r="I334" s="16">
        <f>IFERROR(__xludf.DUMMYFUNCTION("""COMPUTED_VALUE"""),58.78)</f>
        <v>58.78</v>
      </c>
      <c r="J334" s="7"/>
    </row>
    <row r="335">
      <c r="A335" s="7"/>
      <c r="B335" s="7"/>
      <c r="C335" s="7"/>
      <c r="D335" s="7"/>
      <c r="E335" s="7"/>
      <c r="F335" s="23"/>
      <c r="G335" s="7"/>
      <c r="H335" s="15">
        <f>IFERROR(__xludf.DUMMYFUNCTION("""COMPUTED_VALUE"""),43221.66666666667)</f>
        <v>43221.66667</v>
      </c>
      <c r="I335" s="16">
        <f>IFERROR(__xludf.DUMMYFUNCTION("""COMPUTED_VALUE"""),59.98)</f>
        <v>59.98</v>
      </c>
      <c r="J335" s="7"/>
    </row>
    <row r="336">
      <c r="A336" s="7"/>
      <c r="B336" s="7"/>
      <c r="C336" s="7"/>
      <c r="D336" s="7"/>
      <c r="E336" s="7"/>
      <c r="F336" s="23"/>
      <c r="G336" s="7"/>
      <c r="H336" s="15">
        <f>IFERROR(__xludf.DUMMYFUNCTION("""COMPUTED_VALUE"""),43222.66666666667)</f>
        <v>43222.66667</v>
      </c>
      <c r="I336" s="16">
        <f>IFERROR(__xludf.DUMMYFUNCTION("""COMPUTED_VALUE"""),60.23)</f>
        <v>60.23</v>
      </c>
      <c r="J336" s="7"/>
    </row>
    <row r="337">
      <c r="A337" s="7"/>
      <c r="B337" s="7"/>
      <c r="C337" s="7"/>
      <c r="D337" s="7"/>
      <c r="E337" s="7"/>
      <c r="F337" s="23"/>
      <c r="G337" s="7"/>
      <c r="H337" s="15">
        <f>IFERROR(__xludf.DUMMYFUNCTION("""COMPUTED_VALUE"""),43223.66666666667)</f>
        <v>43223.66667</v>
      </c>
      <c r="I337" s="16">
        <f>IFERROR(__xludf.DUMMYFUNCTION("""COMPUTED_VALUE"""),56.89)</f>
        <v>56.89</v>
      </c>
      <c r="J337" s="7"/>
    </row>
    <row r="338">
      <c r="A338" s="7"/>
      <c r="B338" s="7"/>
      <c r="C338" s="7"/>
      <c r="D338" s="7"/>
      <c r="E338" s="7"/>
      <c r="F338" s="23"/>
      <c r="G338" s="7"/>
      <c r="H338" s="15">
        <f>IFERROR(__xludf.DUMMYFUNCTION("""COMPUTED_VALUE"""),43224.66666666667)</f>
        <v>43224.66667</v>
      </c>
      <c r="I338" s="16">
        <f>IFERROR(__xludf.DUMMYFUNCTION("""COMPUTED_VALUE"""),58.82)</f>
        <v>58.82</v>
      </c>
      <c r="J338" s="7"/>
    </row>
    <row r="339">
      <c r="A339" s="7"/>
      <c r="B339" s="7"/>
      <c r="C339" s="7"/>
      <c r="D339" s="7"/>
      <c r="E339" s="7"/>
      <c r="F339" s="23"/>
      <c r="G339" s="7"/>
      <c r="H339" s="15">
        <f>IFERROR(__xludf.DUMMYFUNCTION("""COMPUTED_VALUE"""),43227.66666666667)</f>
        <v>43227.66667</v>
      </c>
      <c r="I339" s="16">
        <f>IFERROR(__xludf.DUMMYFUNCTION("""COMPUTED_VALUE"""),60.55)</f>
        <v>60.55</v>
      </c>
      <c r="J339" s="7"/>
    </row>
    <row r="340">
      <c r="A340" s="7"/>
      <c r="B340" s="7"/>
      <c r="C340" s="7"/>
      <c r="D340" s="7"/>
      <c r="E340" s="7"/>
      <c r="F340" s="23"/>
      <c r="G340" s="7"/>
      <c r="H340" s="15">
        <f>IFERROR(__xludf.DUMMYFUNCTION("""COMPUTED_VALUE"""),43228.66666666667)</f>
        <v>43228.66667</v>
      </c>
      <c r="I340" s="16">
        <f>IFERROR(__xludf.DUMMYFUNCTION("""COMPUTED_VALUE"""),60.39)</f>
        <v>60.39</v>
      </c>
      <c r="J340" s="7"/>
    </row>
    <row r="341">
      <c r="A341" s="7"/>
      <c r="B341" s="7"/>
      <c r="C341" s="7"/>
      <c r="D341" s="7"/>
      <c r="E341" s="7"/>
      <c r="F341" s="23"/>
      <c r="G341" s="7"/>
      <c r="H341" s="15">
        <f>IFERROR(__xludf.DUMMYFUNCTION("""COMPUTED_VALUE"""),43229.66666666667)</f>
        <v>43229.66667</v>
      </c>
      <c r="I341" s="16">
        <f>IFERROR(__xludf.DUMMYFUNCTION("""COMPUTED_VALUE"""),61.37)</f>
        <v>61.37</v>
      </c>
      <c r="J341" s="7"/>
    </row>
    <row r="342">
      <c r="A342" s="7"/>
      <c r="B342" s="7"/>
      <c r="C342" s="7"/>
      <c r="D342" s="7"/>
      <c r="E342" s="7"/>
      <c r="F342" s="23"/>
      <c r="G342" s="7"/>
      <c r="H342" s="15">
        <f>IFERROR(__xludf.DUMMYFUNCTION("""COMPUTED_VALUE"""),43230.66666666667)</f>
        <v>43230.66667</v>
      </c>
      <c r="I342" s="16">
        <f>IFERROR(__xludf.DUMMYFUNCTION("""COMPUTED_VALUE"""),61.0)</f>
        <v>61</v>
      </c>
      <c r="J342" s="7"/>
    </row>
    <row r="343">
      <c r="A343" s="7"/>
      <c r="B343" s="7"/>
      <c r="C343" s="7"/>
      <c r="D343" s="7"/>
      <c r="E343" s="7"/>
      <c r="F343" s="23"/>
      <c r="G343" s="7"/>
      <c r="H343" s="15">
        <f>IFERROR(__xludf.DUMMYFUNCTION("""COMPUTED_VALUE"""),43231.66666666667)</f>
        <v>43231.66667</v>
      </c>
      <c r="I343" s="16">
        <f>IFERROR(__xludf.DUMMYFUNCTION("""COMPUTED_VALUE"""),60.21)</f>
        <v>60.21</v>
      </c>
      <c r="J343" s="7"/>
    </row>
    <row r="344">
      <c r="A344" s="7"/>
      <c r="B344" s="7"/>
      <c r="C344" s="7"/>
      <c r="D344" s="7"/>
      <c r="E344" s="7"/>
      <c r="F344" s="23"/>
      <c r="G344" s="7"/>
      <c r="H344" s="15">
        <f>IFERROR(__xludf.DUMMYFUNCTION("""COMPUTED_VALUE"""),43234.66666666667)</f>
        <v>43234.66667</v>
      </c>
      <c r="I344" s="16">
        <f>IFERROR(__xludf.DUMMYFUNCTION("""COMPUTED_VALUE"""),58.39)</f>
        <v>58.39</v>
      </c>
      <c r="J344" s="7"/>
    </row>
    <row r="345">
      <c r="A345" s="7"/>
      <c r="B345" s="7"/>
      <c r="C345" s="7"/>
      <c r="D345" s="7"/>
      <c r="E345" s="7"/>
      <c r="F345" s="23"/>
      <c r="G345" s="7"/>
      <c r="H345" s="15">
        <f>IFERROR(__xludf.DUMMYFUNCTION("""COMPUTED_VALUE"""),43235.66666666667)</f>
        <v>43235.66667</v>
      </c>
      <c r="I345" s="16">
        <f>IFERROR(__xludf.DUMMYFUNCTION("""COMPUTED_VALUE"""),56.84)</f>
        <v>56.84</v>
      </c>
      <c r="J345" s="7"/>
    </row>
    <row r="346">
      <c r="A346" s="7"/>
      <c r="B346" s="7"/>
      <c r="C346" s="7"/>
      <c r="D346" s="7"/>
      <c r="E346" s="7"/>
      <c r="F346" s="23"/>
      <c r="G346" s="7"/>
      <c r="H346" s="15">
        <f>IFERROR(__xludf.DUMMYFUNCTION("""COMPUTED_VALUE"""),43236.66666666667)</f>
        <v>43236.66667</v>
      </c>
      <c r="I346" s="16">
        <f>IFERROR(__xludf.DUMMYFUNCTION("""COMPUTED_VALUE"""),57.3)</f>
        <v>57.3</v>
      </c>
      <c r="J346" s="7"/>
    </row>
    <row r="347">
      <c r="A347" s="7"/>
      <c r="B347" s="7"/>
      <c r="C347" s="7"/>
      <c r="D347" s="7"/>
      <c r="E347" s="7"/>
      <c r="F347" s="23"/>
      <c r="G347" s="7"/>
      <c r="H347" s="15">
        <f>IFERROR(__xludf.DUMMYFUNCTION("""COMPUTED_VALUE"""),43237.66666666667)</f>
        <v>43237.66667</v>
      </c>
      <c r="I347" s="16">
        <f>IFERROR(__xludf.DUMMYFUNCTION("""COMPUTED_VALUE"""),56.91)</f>
        <v>56.91</v>
      </c>
      <c r="J347" s="7"/>
    </row>
    <row r="348">
      <c r="A348" s="7"/>
      <c r="B348" s="7"/>
      <c r="C348" s="7"/>
      <c r="D348" s="7"/>
      <c r="E348" s="7"/>
      <c r="F348" s="23"/>
      <c r="G348" s="7"/>
      <c r="H348" s="15">
        <f>IFERROR(__xludf.DUMMYFUNCTION("""COMPUTED_VALUE"""),43238.66666666667)</f>
        <v>43238.66667</v>
      </c>
      <c r="I348" s="16">
        <f>IFERROR(__xludf.DUMMYFUNCTION("""COMPUTED_VALUE"""),56.91)</f>
        <v>56.91</v>
      </c>
      <c r="J348" s="7"/>
    </row>
    <row r="349">
      <c r="A349" s="7"/>
      <c r="B349" s="7"/>
      <c r="C349" s="7"/>
      <c r="D349" s="7"/>
      <c r="E349" s="7"/>
      <c r="F349" s="23"/>
      <c r="G349" s="7"/>
      <c r="H349" s="15">
        <f>IFERROR(__xludf.DUMMYFUNCTION("""COMPUTED_VALUE"""),43241.66666666667)</f>
        <v>43241.66667</v>
      </c>
      <c r="I349" s="16">
        <f>IFERROR(__xludf.DUMMYFUNCTION("""COMPUTED_VALUE"""),56.9)</f>
        <v>56.9</v>
      </c>
      <c r="J349" s="7"/>
    </row>
    <row r="350">
      <c r="A350" s="7"/>
      <c r="B350" s="7"/>
      <c r="C350" s="7"/>
      <c r="D350" s="7"/>
      <c r="E350" s="7"/>
      <c r="F350" s="23"/>
      <c r="G350" s="7"/>
      <c r="H350" s="15">
        <f>IFERROR(__xludf.DUMMYFUNCTION("""COMPUTED_VALUE"""),43242.66666666667)</f>
        <v>43242.66667</v>
      </c>
      <c r="I350" s="16">
        <f>IFERROR(__xludf.DUMMYFUNCTION("""COMPUTED_VALUE"""),55.0)</f>
        <v>55</v>
      </c>
      <c r="J350" s="7"/>
    </row>
    <row r="351">
      <c r="A351" s="7"/>
      <c r="B351" s="7"/>
      <c r="C351" s="7"/>
      <c r="D351" s="7"/>
      <c r="E351" s="7"/>
      <c r="F351" s="23"/>
      <c r="G351" s="7"/>
      <c r="H351" s="15">
        <f>IFERROR(__xludf.DUMMYFUNCTION("""COMPUTED_VALUE"""),43243.66666666667)</f>
        <v>43243.66667</v>
      </c>
      <c r="I351" s="16">
        <f>IFERROR(__xludf.DUMMYFUNCTION("""COMPUTED_VALUE"""),55.81)</f>
        <v>55.81</v>
      </c>
      <c r="J351" s="7"/>
    </row>
    <row r="352">
      <c r="A352" s="7"/>
      <c r="B352" s="7"/>
      <c r="C352" s="7"/>
      <c r="D352" s="7"/>
      <c r="E352" s="7"/>
      <c r="F352" s="23"/>
      <c r="G352" s="7"/>
      <c r="H352" s="15">
        <f>IFERROR(__xludf.DUMMYFUNCTION("""COMPUTED_VALUE"""),43244.66666666667)</f>
        <v>43244.66667</v>
      </c>
      <c r="I352" s="16">
        <f>IFERROR(__xludf.DUMMYFUNCTION("""COMPUTED_VALUE"""),55.57)</f>
        <v>55.57</v>
      </c>
      <c r="J352" s="7"/>
    </row>
    <row r="353">
      <c r="A353" s="7"/>
      <c r="B353" s="7"/>
      <c r="C353" s="7"/>
      <c r="D353" s="7"/>
      <c r="E353" s="7"/>
      <c r="F353" s="23"/>
      <c r="G353" s="7"/>
      <c r="H353" s="15">
        <f>IFERROR(__xludf.DUMMYFUNCTION("""COMPUTED_VALUE"""),43245.66666666667)</f>
        <v>43245.66667</v>
      </c>
      <c r="I353" s="16">
        <f>IFERROR(__xludf.DUMMYFUNCTION("""COMPUTED_VALUE"""),55.77)</f>
        <v>55.77</v>
      </c>
      <c r="J353" s="7"/>
    </row>
    <row r="354">
      <c r="A354" s="7"/>
      <c r="B354" s="7"/>
      <c r="C354" s="7"/>
      <c r="D354" s="7"/>
      <c r="E354" s="7"/>
      <c r="F354" s="23"/>
      <c r="G354" s="7"/>
      <c r="H354" s="15">
        <f>IFERROR(__xludf.DUMMYFUNCTION("""COMPUTED_VALUE"""),43249.66666666667)</f>
        <v>43249.66667</v>
      </c>
      <c r="I354" s="16">
        <f>IFERROR(__xludf.DUMMYFUNCTION("""COMPUTED_VALUE"""),56.75)</f>
        <v>56.75</v>
      </c>
      <c r="J354" s="7"/>
    </row>
    <row r="355">
      <c r="A355" s="7"/>
      <c r="B355" s="7"/>
      <c r="C355" s="7"/>
      <c r="D355" s="7"/>
      <c r="E355" s="7"/>
      <c r="F355" s="23"/>
      <c r="G355" s="7"/>
      <c r="H355" s="15">
        <f>IFERROR(__xludf.DUMMYFUNCTION("""COMPUTED_VALUE"""),43250.66666666667)</f>
        <v>43250.66667</v>
      </c>
      <c r="I355" s="16">
        <f>IFERROR(__xludf.DUMMYFUNCTION("""COMPUTED_VALUE"""),58.34)</f>
        <v>58.34</v>
      </c>
      <c r="J355" s="7"/>
    </row>
    <row r="356">
      <c r="A356" s="7"/>
      <c r="B356" s="7"/>
      <c r="C356" s="7"/>
      <c r="D356" s="7"/>
      <c r="E356" s="7"/>
      <c r="F356" s="23"/>
      <c r="G356" s="7"/>
      <c r="H356" s="15">
        <f>IFERROR(__xludf.DUMMYFUNCTION("""COMPUTED_VALUE"""),43251.66666666667)</f>
        <v>43251.66667</v>
      </c>
      <c r="I356" s="16">
        <f>IFERROR(__xludf.DUMMYFUNCTION("""COMPUTED_VALUE"""),56.95)</f>
        <v>56.95</v>
      </c>
      <c r="J356" s="7"/>
    </row>
    <row r="357">
      <c r="A357" s="7"/>
      <c r="B357" s="7"/>
      <c r="C357" s="7"/>
      <c r="D357" s="7"/>
      <c r="E357" s="7"/>
      <c r="F357" s="23"/>
      <c r="G357" s="7"/>
      <c r="H357" s="15">
        <f>IFERROR(__xludf.DUMMYFUNCTION("""COMPUTED_VALUE"""),43252.66666666667)</f>
        <v>43252.66667</v>
      </c>
      <c r="I357" s="16">
        <f>IFERROR(__xludf.DUMMYFUNCTION("""COMPUTED_VALUE"""),58.36)</f>
        <v>58.36</v>
      </c>
      <c r="J357" s="7"/>
    </row>
    <row r="358">
      <c r="A358" s="7"/>
      <c r="B358" s="7"/>
      <c r="C358" s="7"/>
      <c r="D358" s="7"/>
      <c r="E358" s="7"/>
      <c r="F358" s="23"/>
      <c r="G358" s="7"/>
      <c r="H358" s="15">
        <f>IFERROR(__xludf.DUMMYFUNCTION("""COMPUTED_VALUE"""),43255.66666666667)</f>
        <v>43255.66667</v>
      </c>
      <c r="I358" s="16">
        <f>IFERROR(__xludf.DUMMYFUNCTION("""COMPUTED_VALUE"""),59.35)</f>
        <v>59.35</v>
      </c>
      <c r="J358" s="7"/>
    </row>
    <row r="359">
      <c r="A359" s="7"/>
      <c r="B359" s="7"/>
      <c r="C359" s="7"/>
      <c r="D359" s="7"/>
      <c r="E359" s="7"/>
      <c r="F359" s="23"/>
      <c r="G359" s="7"/>
      <c r="H359" s="15">
        <f>IFERROR(__xludf.DUMMYFUNCTION("""COMPUTED_VALUE"""),43256.66666666667)</f>
        <v>43256.66667</v>
      </c>
      <c r="I359" s="16">
        <f>IFERROR(__xludf.DUMMYFUNCTION("""COMPUTED_VALUE"""),58.23)</f>
        <v>58.23</v>
      </c>
      <c r="J359" s="7"/>
    </row>
    <row r="360">
      <c r="A360" s="7"/>
      <c r="B360" s="7"/>
      <c r="C360" s="7"/>
      <c r="D360" s="7"/>
      <c r="E360" s="7"/>
      <c r="F360" s="23"/>
      <c r="G360" s="7"/>
      <c r="H360" s="15">
        <f>IFERROR(__xludf.DUMMYFUNCTION("""COMPUTED_VALUE"""),43257.66666666667)</f>
        <v>43257.66667</v>
      </c>
      <c r="I360" s="16">
        <f>IFERROR(__xludf.DUMMYFUNCTION("""COMPUTED_VALUE"""),63.9)</f>
        <v>63.9</v>
      </c>
      <c r="J360" s="7"/>
    </row>
    <row r="361">
      <c r="A361" s="7"/>
      <c r="B361" s="7"/>
      <c r="C361" s="7"/>
      <c r="D361" s="7"/>
      <c r="E361" s="7"/>
      <c r="F361" s="23"/>
      <c r="G361" s="7"/>
      <c r="H361" s="15">
        <f>IFERROR(__xludf.DUMMYFUNCTION("""COMPUTED_VALUE"""),43258.66666666667)</f>
        <v>43258.66667</v>
      </c>
      <c r="I361" s="16">
        <f>IFERROR(__xludf.DUMMYFUNCTION("""COMPUTED_VALUE"""),63.22)</f>
        <v>63.22</v>
      </c>
      <c r="J361" s="7"/>
    </row>
    <row r="362">
      <c r="A362" s="7"/>
      <c r="B362" s="7"/>
      <c r="C362" s="7"/>
      <c r="D362" s="7"/>
      <c r="E362" s="7"/>
      <c r="F362" s="23"/>
      <c r="G362" s="7"/>
      <c r="H362" s="15">
        <f>IFERROR(__xludf.DUMMYFUNCTION("""COMPUTED_VALUE"""),43259.66666666667)</f>
        <v>43259.66667</v>
      </c>
      <c r="I362" s="16">
        <f>IFERROR(__xludf.DUMMYFUNCTION("""COMPUTED_VALUE"""),63.53)</f>
        <v>63.53</v>
      </c>
      <c r="J362" s="7"/>
    </row>
    <row r="363">
      <c r="A363" s="7"/>
      <c r="B363" s="7"/>
      <c r="C363" s="7"/>
      <c r="D363" s="7"/>
      <c r="E363" s="7"/>
      <c r="F363" s="23"/>
      <c r="G363" s="7"/>
      <c r="H363" s="15">
        <f>IFERROR(__xludf.DUMMYFUNCTION("""COMPUTED_VALUE"""),43262.66666666667)</f>
        <v>43262.66667</v>
      </c>
      <c r="I363" s="16">
        <f>IFERROR(__xludf.DUMMYFUNCTION("""COMPUTED_VALUE"""),66.42)</f>
        <v>66.42</v>
      </c>
      <c r="J363" s="7"/>
    </row>
    <row r="364">
      <c r="A364" s="7"/>
      <c r="B364" s="7"/>
      <c r="C364" s="7"/>
      <c r="D364" s="7"/>
      <c r="E364" s="7"/>
      <c r="F364" s="23"/>
      <c r="G364" s="7"/>
      <c r="H364" s="15">
        <f>IFERROR(__xludf.DUMMYFUNCTION("""COMPUTED_VALUE"""),43263.66666666667)</f>
        <v>43263.66667</v>
      </c>
      <c r="I364" s="16">
        <f>IFERROR(__xludf.DUMMYFUNCTION("""COMPUTED_VALUE"""),68.55)</f>
        <v>68.55</v>
      </c>
      <c r="J364" s="7"/>
    </row>
    <row r="365">
      <c r="A365" s="7"/>
      <c r="B365" s="7"/>
      <c r="C365" s="7"/>
      <c r="D365" s="7"/>
      <c r="E365" s="7"/>
      <c r="F365" s="23"/>
      <c r="G365" s="7"/>
      <c r="H365" s="15">
        <f>IFERROR(__xludf.DUMMYFUNCTION("""COMPUTED_VALUE"""),43264.66666666667)</f>
        <v>43264.66667</v>
      </c>
      <c r="I365" s="16">
        <f>IFERROR(__xludf.DUMMYFUNCTION("""COMPUTED_VALUE"""),68.96)</f>
        <v>68.96</v>
      </c>
      <c r="J365" s="7"/>
    </row>
    <row r="366">
      <c r="A366" s="7"/>
      <c r="B366" s="7"/>
      <c r="C366" s="7"/>
      <c r="D366" s="7"/>
      <c r="E366" s="7"/>
      <c r="F366" s="23"/>
      <c r="G366" s="7"/>
      <c r="H366" s="15">
        <f>IFERROR(__xludf.DUMMYFUNCTION("""COMPUTED_VALUE"""),43265.66666666667)</f>
        <v>43265.66667</v>
      </c>
      <c r="I366" s="16">
        <f>IFERROR(__xludf.DUMMYFUNCTION("""COMPUTED_VALUE"""),71.54)</f>
        <v>71.54</v>
      </c>
      <c r="J366" s="7"/>
    </row>
    <row r="367">
      <c r="A367" s="7"/>
      <c r="B367" s="7"/>
      <c r="C367" s="7"/>
      <c r="D367" s="7"/>
      <c r="E367" s="7"/>
      <c r="F367" s="23"/>
      <c r="G367" s="7"/>
      <c r="H367" s="15">
        <f>IFERROR(__xludf.DUMMYFUNCTION("""COMPUTED_VALUE"""),43266.66666666667)</f>
        <v>43266.66667</v>
      </c>
      <c r="I367" s="16">
        <f>IFERROR(__xludf.DUMMYFUNCTION("""COMPUTED_VALUE"""),71.63)</f>
        <v>71.63</v>
      </c>
      <c r="J367" s="7"/>
    </row>
    <row r="368">
      <c r="A368" s="7"/>
      <c r="B368" s="7"/>
      <c r="C368" s="7"/>
      <c r="D368" s="7"/>
      <c r="E368" s="7"/>
      <c r="F368" s="23"/>
      <c r="G368" s="7"/>
      <c r="H368" s="15">
        <f>IFERROR(__xludf.DUMMYFUNCTION("""COMPUTED_VALUE"""),43269.66666666667)</f>
        <v>43269.66667</v>
      </c>
      <c r="I368" s="16">
        <f>IFERROR(__xludf.DUMMYFUNCTION("""COMPUTED_VALUE"""),74.17)</f>
        <v>74.17</v>
      </c>
      <c r="J368" s="7"/>
    </row>
    <row r="369">
      <c r="A369" s="7"/>
      <c r="B369" s="7"/>
      <c r="C369" s="7"/>
      <c r="D369" s="7"/>
      <c r="E369" s="7"/>
      <c r="F369" s="23"/>
      <c r="G369" s="7"/>
      <c r="H369" s="15">
        <f>IFERROR(__xludf.DUMMYFUNCTION("""COMPUTED_VALUE"""),43270.66666666667)</f>
        <v>43270.66667</v>
      </c>
      <c r="I369" s="16">
        <f>IFERROR(__xludf.DUMMYFUNCTION("""COMPUTED_VALUE"""),70.51)</f>
        <v>70.51</v>
      </c>
      <c r="J369" s="7"/>
    </row>
    <row r="370">
      <c r="A370" s="7"/>
      <c r="B370" s="7"/>
      <c r="C370" s="7"/>
      <c r="D370" s="7"/>
      <c r="E370" s="7"/>
      <c r="F370" s="23"/>
      <c r="G370" s="7"/>
      <c r="H370" s="15">
        <f>IFERROR(__xludf.DUMMYFUNCTION("""COMPUTED_VALUE"""),43271.66666666667)</f>
        <v>43271.66667</v>
      </c>
      <c r="I370" s="16">
        <f>IFERROR(__xludf.DUMMYFUNCTION("""COMPUTED_VALUE"""),72.44)</f>
        <v>72.44</v>
      </c>
      <c r="J370" s="7"/>
    </row>
    <row r="371">
      <c r="A371" s="7"/>
      <c r="B371" s="7"/>
      <c r="C371" s="7"/>
      <c r="D371" s="7"/>
      <c r="E371" s="7"/>
      <c r="F371" s="23"/>
      <c r="G371" s="7"/>
      <c r="H371" s="15">
        <f>IFERROR(__xludf.DUMMYFUNCTION("""COMPUTED_VALUE"""),43272.66666666667)</f>
        <v>43272.66667</v>
      </c>
      <c r="I371" s="16">
        <f>IFERROR(__xludf.DUMMYFUNCTION("""COMPUTED_VALUE"""),69.5)</f>
        <v>69.5</v>
      </c>
      <c r="J371" s="7"/>
    </row>
    <row r="372">
      <c r="A372" s="7"/>
      <c r="B372" s="7"/>
      <c r="C372" s="7"/>
      <c r="D372" s="7"/>
      <c r="E372" s="7"/>
      <c r="F372" s="23"/>
      <c r="G372" s="7"/>
      <c r="H372" s="15">
        <f>IFERROR(__xludf.DUMMYFUNCTION("""COMPUTED_VALUE"""),43273.66666666667)</f>
        <v>43273.66667</v>
      </c>
      <c r="I372" s="16">
        <f>IFERROR(__xludf.DUMMYFUNCTION("""COMPUTED_VALUE"""),66.73)</f>
        <v>66.73</v>
      </c>
      <c r="J372" s="7"/>
    </row>
    <row r="373">
      <c r="A373" s="7"/>
      <c r="B373" s="7"/>
      <c r="C373" s="7"/>
      <c r="D373" s="7"/>
      <c r="E373" s="7"/>
      <c r="F373" s="23"/>
      <c r="G373" s="7"/>
      <c r="H373" s="15">
        <f>IFERROR(__xludf.DUMMYFUNCTION("""COMPUTED_VALUE"""),43276.66666666667)</f>
        <v>43276.66667</v>
      </c>
      <c r="I373" s="16">
        <f>IFERROR(__xludf.DUMMYFUNCTION("""COMPUTED_VALUE"""),66.6)</f>
        <v>66.6</v>
      </c>
      <c r="J373" s="7"/>
    </row>
    <row r="374">
      <c r="A374" s="7"/>
      <c r="B374" s="7"/>
      <c r="C374" s="7"/>
      <c r="D374" s="7"/>
      <c r="E374" s="7"/>
      <c r="F374" s="23"/>
      <c r="G374" s="7"/>
      <c r="H374" s="15">
        <f>IFERROR(__xludf.DUMMYFUNCTION("""COMPUTED_VALUE"""),43277.66666666667)</f>
        <v>43277.66667</v>
      </c>
      <c r="I374" s="16">
        <f>IFERROR(__xludf.DUMMYFUNCTION("""COMPUTED_VALUE"""),68.4)</f>
        <v>68.4</v>
      </c>
      <c r="J374" s="7"/>
    </row>
    <row r="375">
      <c r="A375" s="7"/>
      <c r="B375" s="7"/>
      <c r="C375" s="7"/>
      <c r="D375" s="7"/>
      <c r="E375" s="7"/>
      <c r="F375" s="23"/>
      <c r="G375" s="7"/>
      <c r="H375" s="15">
        <f>IFERROR(__xludf.DUMMYFUNCTION("""COMPUTED_VALUE"""),43278.66666666667)</f>
        <v>43278.66667</v>
      </c>
      <c r="I375" s="16">
        <f>IFERROR(__xludf.DUMMYFUNCTION("""COMPUTED_VALUE"""),68.9)</f>
        <v>68.9</v>
      </c>
      <c r="J375" s="7"/>
    </row>
    <row r="376">
      <c r="A376" s="7"/>
      <c r="B376" s="7"/>
      <c r="C376" s="7"/>
      <c r="D376" s="7"/>
      <c r="E376" s="7"/>
      <c r="F376" s="23"/>
      <c r="G376" s="7"/>
      <c r="H376" s="15">
        <f>IFERROR(__xludf.DUMMYFUNCTION("""COMPUTED_VALUE"""),43279.66666666667)</f>
        <v>43279.66667</v>
      </c>
      <c r="I376" s="16">
        <f>IFERROR(__xludf.DUMMYFUNCTION("""COMPUTED_VALUE"""),69.99)</f>
        <v>69.99</v>
      </c>
      <c r="J376" s="7"/>
    </row>
    <row r="377">
      <c r="A377" s="7"/>
      <c r="B377" s="7"/>
      <c r="C377" s="7"/>
      <c r="D377" s="7"/>
      <c r="E377" s="7"/>
      <c r="F377" s="23"/>
      <c r="G377" s="7"/>
      <c r="H377" s="15">
        <f>IFERROR(__xludf.DUMMYFUNCTION("""COMPUTED_VALUE"""),43280.66666666667)</f>
        <v>43280.66667</v>
      </c>
      <c r="I377" s="16">
        <f>IFERROR(__xludf.DUMMYFUNCTION("""COMPUTED_VALUE"""),68.59)</f>
        <v>68.59</v>
      </c>
      <c r="J377" s="7"/>
    </row>
    <row r="378">
      <c r="A378" s="7"/>
      <c r="B378" s="7"/>
      <c r="C378" s="7"/>
      <c r="D378" s="7"/>
      <c r="E378" s="7"/>
      <c r="F378" s="23"/>
      <c r="G378" s="7"/>
      <c r="H378" s="15">
        <f>IFERROR(__xludf.DUMMYFUNCTION("""COMPUTED_VALUE"""),43283.66666666667)</f>
        <v>43283.66667</v>
      </c>
      <c r="I378" s="16">
        <f>IFERROR(__xludf.DUMMYFUNCTION("""COMPUTED_VALUE"""),67.01)</f>
        <v>67.01</v>
      </c>
      <c r="J378" s="7"/>
    </row>
    <row r="379">
      <c r="A379" s="7"/>
      <c r="B379" s="7"/>
      <c r="C379" s="7"/>
      <c r="D379" s="7"/>
      <c r="E379" s="7"/>
      <c r="F379" s="23"/>
      <c r="G379" s="7"/>
      <c r="H379" s="15">
        <f>IFERROR(__xludf.DUMMYFUNCTION("""COMPUTED_VALUE"""),43284.54166666667)</f>
        <v>43284.54167</v>
      </c>
      <c r="I379" s="16">
        <f>IFERROR(__xludf.DUMMYFUNCTION("""COMPUTED_VALUE"""),62.17)</f>
        <v>62.17</v>
      </c>
      <c r="J379" s="7"/>
    </row>
    <row r="380">
      <c r="A380" s="7"/>
      <c r="B380" s="7"/>
      <c r="C380" s="7"/>
      <c r="D380" s="7"/>
      <c r="E380" s="7"/>
      <c r="F380" s="23"/>
      <c r="G380" s="7"/>
      <c r="H380" s="15">
        <f>IFERROR(__xludf.DUMMYFUNCTION("""COMPUTED_VALUE"""),43286.66666666667)</f>
        <v>43286.66667</v>
      </c>
      <c r="I380" s="16">
        <f>IFERROR(__xludf.DUMMYFUNCTION("""COMPUTED_VALUE"""),61.83)</f>
        <v>61.83</v>
      </c>
      <c r="J380" s="7"/>
    </row>
    <row r="381">
      <c r="A381" s="7"/>
      <c r="B381" s="7"/>
      <c r="C381" s="7"/>
      <c r="D381" s="7"/>
      <c r="E381" s="7"/>
      <c r="F381" s="23"/>
      <c r="G381" s="7"/>
      <c r="H381" s="15">
        <f>IFERROR(__xludf.DUMMYFUNCTION("""COMPUTED_VALUE"""),43287.66666666667)</f>
        <v>43287.66667</v>
      </c>
      <c r="I381" s="16">
        <f>IFERROR(__xludf.DUMMYFUNCTION("""COMPUTED_VALUE"""),61.78)</f>
        <v>61.78</v>
      </c>
      <c r="J381" s="7"/>
    </row>
    <row r="382">
      <c r="A382" s="7"/>
      <c r="B382" s="7"/>
      <c r="C382" s="7"/>
      <c r="D382" s="7"/>
      <c r="E382" s="7"/>
      <c r="F382" s="23"/>
      <c r="G382" s="7"/>
      <c r="H382" s="15">
        <f>IFERROR(__xludf.DUMMYFUNCTION("""COMPUTED_VALUE"""),43290.66666666667)</f>
        <v>43290.66667</v>
      </c>
      <c r="I382" s="16">
        <f>IFERROR(__xludf.DUMMYFUNCTION("""COMPUTED_VALUE"""),63.7)</f>
        <v>63.7</v>
      </c>
      <c r="J382" s="7"/>
    </row>
    <row r="383">
      <c r="A383" s="7"/>
      <c r="B383" s="7"/>
      <c r="C383" s="7"/>
      <c r="D383" s="7"/>
      <c r="E383" s="7"/>
      <c r="F383" s="23"/>
      <c r="G383" s="7"/>
      <c r="H383" s="15">
        <f>IFERROR(__xludf.DUMMYFUNCTION("""COMPUTED_VALUE"""),43291.66666666667)</f>
        <v>43291.66667</v>
      </c>
      <c r="I383" s="16">
        <f>IFERROR(__xludf.DUMMYFUNCTION("""COMPUTED_VALUE"""),64.49)</f>
        <v>64.49</v>
      </c>
      <c r="J383" s="7"/>
    </row>
    <row r="384">
      <c r="A384" s="7"/>
      <c r="B384" s="7"/>
      <c r="C384" s="7"/>
      <c r="D384" s="7"/>
      <c r="E384" s="7"/>
      <c r="F384" s="23"/>
      <c r="G384" s="7"/>
      <c r="H384" s="15">
        <f>IFERROR(__xludf.DUMMYFUNCTION("""COMPUTED_VALUE"""),43292.66666666667)</f>
        <v>43292.66667</v>
      </c>
      <c r="I384" s="16">
        <f>IFERROR(__xludf.DUMMYFUNCTION("""COMPUTED_VALUE"""),63.79)</f>
        <v>63.79</v>
      </c>
      <c r="J384" s="7"/>
    </row>
    <row r="385">
      <c r="A385" s="7"/>
      <c r="B385" s="7"/>
      <c r="C385" s="7"/>
      <c r="D385" s="7"/>
      <c r="E385" s="7"/>
      <c r="F385" s="23"/>
      <c r="G385" s="7"/>
      <c r="H385" s="15">
        <f>IFERROR(__xludf.DUMMYFUNCTION("""COMPUTED_VALUE"""),43293.66666666667)</f>
        <v>43293.66667</v>
      </c>
      <c r="I385" s="16">
        <f>IFERROR(__xludf.DUMMYFUNCTION("""COMPUTED_VALUE"""),63.34)</f>
        <v>63.34</v>
      </c>
      <c r="J385" s="7"/>
    </row>
    <row r="386">
      <c r="A386" s="7"/>
      <c r="B386" s="7"/>
      <c r="C386" s="7"/>
      <c r="D386" s="7"/>
      <c r="E386" s="7"/>
      <c r="F386" s="23"/>
      <c r="G386" s="7"/>
      <c r="H386" s="15">
        <f>IFERROR(__xludf.DUMMYFUNCTION("""COMPUTED_VALUE"""),43294.66666666667)</f>
        <v>43294.66667</v>
      </c>
      <c r="I386" s="16">
        <f>IFERROR(__xludf.DUMMYFUNCTION("""COMPUTED_VALUE"""),63.77)</f>
        <v>63.77</v>
      </c>
      <c r="J386" s="7"/>
    </row>
    <row r="387">
      <c r="A387" s="7"/>
      <c r="B387" s="7"/>
      <c r="C387" s="7"/>
      <c r="D387" s="7"/>
      <c r="E387" s="7"/>
      <c r="F387" s="23"/>
      <c r="G387" s="7"/>
      <c r="H387" s="15">
        <f>IFERROR(__xludf.DUMMYFUNCTION("""COMPUTED_VALUE"""),43297.66666666667)</f>
        <v>43297.66667</v>
      </c>
      <c r="I387" s="16">
        <f>IFERROR(__xludf.DUMMYFUNCTION("""COMPUTED_VALUE"""),62.02)</f>
        <v>62.02</v>
      </c>
      <c r="J387" s="7"/>
    </row>
    <row r="388">
      <c r="A388" s="7"/>
      <c r="B388" s="7"/>
      <c r="C388" s="7"/>
      <c r="D388" s="7"/>
      <c r="E388" s="7"/>
      <c r="F388" s="23"/>
      <c r="G388" s="7"/>
      <c r="H388" s="15">
        <f>IFERROR(__xludf.DUMMYFUNCTION("""COMPUTED_VALUE"""),43298.66666666667)</f>
        <v>43298.66667</v>
      </c>
      <c r="I388" s="16">
        <f>IFERROR(__xludf.DUMMYFUNCTION("""COMPUTED_VALUE"""),64.54)</f>
        <v>64.54</v>
      </c>
      <c r="J388" s="7"/>
    </row>
    <row r="389">
      <c r="A389" s="7"/>
      <c r="B389" s="7"/>
      <c r="C389" s="7"/>
      <c r="D389" s="7"/>
      <c r="E389" s="7"/>
      <c r="F389" s="23"/>
      <c r="G389" s="7"/>
      <c r="H389" s="15">
        <f>IFERROR(__xludf.DUMMYFUNCTION("""COMPUTED_VALUE"""),43299.66666666667)</f>
        <v>43299.66667</v>
      </c>
      <c r="I389" s="16">
        <f>IFERROR(__xludf.DUMMYFUNCTION("""COMPUTED_VALUE"""),64.77)</f>
        <v>64.77</v>
      </c>
      <c r="J389" s="7"/>
    </row>
    <row r="390">
      <c r="A390" s="7"/>
      <c r="B390" s="7"/>
      <c r="C390" s="7"/>
      <c r="D390" s="7"/>
      <c r="E390" s="7"/>
      <c r="F390" s="23"/>
      <c r="G390" s="7"/>
      <c r="H390" s="15">
        <f>IFERROR(__xludf.DUMMYFUNCTION("""COMPUTED_VALUE"""),43300.66666666667)</f>
        <v>43300.66667</v>
      </c>
      <c r="I390" s="16">
        <f>IFERROR(__xludf.DUMMYFUNCTION("""COMPUTED_VALUE"""),64.05)</f>
        <v>64.05</v>
      </c>
      <c r="J390" s="7"/>
    </row>
    <row r="391">
      <c r="A391" s="7"/>
      <c r="B391" s="7"/>
      <c r="C391" s="7"/>
      <c r="D391" s="7"/>
      <c r="E391" s="7"/>
      <c r="F391" s="23"/>
      <c r="G391" s="7"/>
      <c r="H391" s="15">
        <f>IFERROR(__xludf.DUMMYFUNCTION("""COMPUTED_VALUE"""),43301.66666666667)</f>
        <v>43301.66667</v>
      </c>
      <c r="I391" s="16">
        <f>IFERROR(__xludf.DUMMYFUNCTION("""COMPUTED_VALUE"""),62.72)</f>
        <v>62.72</v>
      </c>
      <c r="J391" s="7"/>
    </row>
    <row r="392">
      <c r="A392" s="7"/>
      <c r="B392" s="7"/>
      <c r="C392" s="7"/>
      <c r="D392" s="7"/>
      <c r="E392" s="7"/>
      <c r="F392" s="23"/>
      <c r="G392" s="7"/>
      <c r="H392" s="15">
        <f>IFERROR(__xludf.DUMMYFUNCTION("""COMPUTED_VALUE"""),43304.66666666667)</f>
        <v>43304.66667</v>
      </c>
      <c r="I392" s="16">
        <f>IFERROR(__xludf.DUMMYFUNCTION("""COMPUTED_VALUE"""),60.64)</f>
        <v>60.64</v>
      </c>
      <c r="J392" s="7"/>
    </row>
    <row r="393">
      <c r="A393" s="7"/>
      <c r="B393" s="7"/>
      <c r="C393" s="7"/>
      <c r="D393" s="7"/>
      <c r="E393" s="7"/>
      <c r="F393" s="23"/>
      <c r="G393" s="7"/>
      <c r="H393" s="15">
        <f>IFERROR(__xludf.DUMMYFUNCTION("""COMPUTED_VALUE"""),43305.66666666667)</f>
        <v>43305.66667</v>
      </c>
      <c r="I393" s="16">
        <f>IFERROR(__xludf.DUMMYFUNCTION("""COMPUTED_VALUE"""),59.49)</f>
        <v>59.49</v>
      </c>
      <c r="J393" s="7"/>
    </row>
    <row r="394">
      <c r="A394" s="7"/>
      <c r="B394" s="7"/>
      <c r="C394" s="7"/>
      <c r="D394" s="7"/>
      <c r="E394" s="7"/>
      <c r="F394" s="23"/>
      <c r="G394" s="7"/>
      <c r="H394" s="15">
        <f>IFERROR(__xludf.DUMMYFUNCTION("""COMPUTED_VALUE"""),43306.66666666667)</f>
        <v>43306.66667</v>
      </c>
      <c r="I394" s="16">
        <f>IFERROR(__xludf.DUMMYFUNCTION("""COMPUTED_VALUE"""),61.75)</f>
        <v>61.75</v>
      </c>
      <c r="J394" s="7"/>
    </row>
    <row r="395">
      <c r="A395" s="7"/>
      <c r="B395" s="7"/>
      <c r="C395" s="7"/>
      <c r="D395" s="7"/>
      <c r="E395" s="7"/>
      <c r="F395" s="23"/>
      <c r="G395" s="7"/>
      <c r="H395" s="15">
        <f>IFERROR(__xludf.DUMMYFUNCTION("""COMPUTED_VALUE"""),43307.66666666667)</f>
        <v>43307.66667</v>
      </c>
      <c r="I395" s="16">
        <f>IFERROR(__xludf.DUMMYFUNCTION("""COMPUTED_VALUE"""),61.33)</f>
        <v>61.33</v>
      </c>
      <c r="J395" s="7"/>
    </row>
    <row r="396">
      <c r="A396" s="7"/>
      <c r="B396" s="7"/>
      <c r="C396" s="7"/>
      <c r="D396" s="7"/>
      <c r="E396" s="7"/>
      <c r="F396" s="23"/>
      <c r="G396" s="7"/>
      <c r="H396" s="15">
        <f>IFERROR(__xludf.DUMMYFUNCTION("""COMPUTED_VALUE"""),43308.66666666667)</f>
        <v>43308.66667</v>
      </c>
      <c r="I396" s="16">
        <f>IFERROR(__xludf.DUMMYFUNCTION("""COMPUTED_VALUE"""),59.44)</f>
        <v>59.44</v>
      </c>
      <c r="J396" s="7"/>
    </row>
    <row r="397">
      <c r="A397" s="7"/>
      <c r="B397" s="7"/>
      <c r="C397" s="7"/>
      <c r="D397" s="7"/>
      <c r="E397" s="7"/>
      <c r="F397" s="23"/>
      <c r="G397" s="7"/>
      <c r="H397" s="15">
        <f>IFERROR(__xludf.DUMMYFUNCTION("""COMPUTED_VALUE"""),43311.66666666667)</f>
        <v>43311.66667</v>
      </c>
      <c r="I397" s="16">
        <f>IFERROR(__xludf.DUMMYFUNCTION("""COMPUTED_VALUE"""),58.03)</f>
        <v>58.03</v>
      </c>
      <c r="J397" s="7"/>
    </row>
    <row r="398">
      <c r="A398" s="7"/>
      <c r="B398" s="7"/>
      <c r="C398" s="7"/>
      <c r="D398" s="7"/>
      <c r="E398" s="7"/>
      <c r="F398" s="23"/>
      <c r="G398" s="7"/>
      <c r="H398" s="15">
        <f>IFERROR(__xludf.DUMMYFUNCTION("""COMPUTED_VALUE"""),43312.66666666667)</f>
        <v>43312.66667</v>
      </c>
      <c r="I398" s="16">
        <f>IFERROR(__xludf.DUMMYFUNCTION("""COMPUTED_VALUE"""),59.63)</f>
        <v>59.63</v>
      </c>
      <c r="J398" s="7"/>
    </row>
    <row r="399">
      <c r="A399" s="7"/>
      <c r="B399" s="7"/>
      <c r="C399" s="7"/>
      <c r="D399" s="7"/>
      <c r="E399" s="7"/>
      <c r="F399" s="23"/>
      <c r="G399" s="7"/>
      <c r="H399" s="15">
        <f>IFERROR(__xludf.DUMMYFUNCTION("""COMPUTED_VALUE"""),43313.66666666667)</f>
        <v>43313.66667</v>
      </c>
      <c r="I399" s="16">
        <f>IFERROR(__xludf.DUMMYFUNCTION("""COMPUTED_VALUE"""),60.17)</f>
        <v>60.17</v>
      </c>
      <c r="J399" s="7"/>
    </row>
    <row r="400">
      <c r="A400" s="7"/>
      <c r="B400" s="7"/>
      <c r="C400" s="7"/>
      <c r="D400" s="7"/>
      <c r="E400" s="7"/>
      <c r="F400" s="23"/>
      <c r="G400" s="7"/>
      <c r="H400" s="15">
        <f>IFERROR(__xludf.DUMMYFUNCTION("""COMPUTED_VALUE"""),43314.66666666667)</f>
        <v>43314.66667</v>
      </c>
      <c r="I400" s="16">
        <f>IFERROR(__xludf.DUMMYFUNCTION("""COMPUTED_VALUE"""),69.91)</f>
        <v>69.91</v>
      </c>
      <c r="J400" s="7"/>
    </row>
    <row r="401">
      <c r="A401" s="7"/>
      <c r="B401" s="7"/>
      <c r="C401" s="7"/>
      <c r="D401" s="7"/>
      <c r="E401" s="7"/>
      <c r="F401" s="23"/>
      <c r="G401" s="7"/>
      <c r="H401" s="15">
        <f>IFERROR(__xludf.DUMMYFUNCTION("""COMPUTED_VALUE"""),43315.66666666667)</f>
        <v>43315.66667</v>
      </c>
      <c r="I401" s="16">
        <f>IFERROR(__xludf.DUMMYFUNCTION("""COMPUTED_VALUE"""),69.63)</f>
        <v>69.63</v>
      </c>
      <c r="J401" s="7"/>
    </row>
    <row r="402">
      <c r="A402" s="7"/>
      <c r="B402" s="7"/>
      <c r="C402" s="7"/>
      <c r="D402" s="7"/>
      <c r="E402" s="7"/>
      <c r="F402" s="23"/>
      <c r="G402" s="7"/>
      <c r="H402" s="15">
        <f>IFERROR(__xludf.DUMMYFUNCTION("""COMPUTED_VALUE"""),43318.66666666667)</f>
        <v>43318.66667</v>
      </c>
      <c r="I402" s="16">
        <f>IFERROR(__xludf.DUMMYFUNCTION("""COMPUTED_VALUE"""),68.4)</f>
        <v>68.4</v>
      </c>
      <c r="J402" s="7"/>
    </row>
    <row r="403">
      <c r="A403" s="7"/>
      <c r="B403" s="7"/>
      <c r="C403" s="7"/>
      <c r="D403" s="7"/>
      <c r="E403" s="7"/>
      <c r="F403" s="23"/>
      <c r="G403" s="7"/>
      <c r="H403" s="15">
        <f>IFERROR(__xludf.DUMMYFUNCTION("""COMPUTED_VALUE"""),43319.66666666667)</f>
        <v>43319.66667</v>
      </c>
      <c r="I403" s="16">
        <f>IFERROR(__xludf.DUMMYFUNCTION("""COMPUTED_VALUE"""),75.91)</f>
        <v>75.91</v>
      </c>
      <c r="J403" s="7"/>
    </row>
    <row r="404">
      <c r="A404" s="7"/>
      <c r="B404" s="7"/>
      <c r="C404" s="7"/>
      <c r="D404" s="7"/>
      <c r="E404" s="7"/>
      <c r="F404" s="23"/>
      <c r="G404" s="7"/>
      <c r="H404" s="15">
        <f>IFERROR(__xludf.DUMMYFUNCTION("""COMPUTED_VALUE"""),43320.66666666667)</f>
        <v>43320.66667</v>
      </c>
      <c r="I404" s="16">
        <f>IFERROR(__xludf.DUMMYFUNCTION("""COMPUTED_VALUE"""),74.07)</f>
        <v>74.07</v>
      </c>
      <c r="J404" s="7"/>
    </row>
    <row r="405">
      <c r="A405" s="7"/>
      <c r="B405" s="7"/>
      <c r="C405" s="7"/>
      <c r="D405" s="7"/>
      <c r="E405" s="7"/>
      <c r="F405" s="23"/>
      <c r="G405" s="7"/>
      <c r="H405" s="15">
        <f>IFERROR(__xludf.DUMMYFUNCTION("""COMPUTED_VALUE"""),43321.66666666667)</f>
        <v>43321.66667</v>
      </c>
      <c r="I405" s="16">
        <f>IFERROR(__xludf.DUMMYFUNCTION("""COMPUTED_VALUE"""),70.49)</f>
        <v>70.49</v>
      </c>
      <c r="J405" s="7"/>
    </row>
    <row r="406">
      <c r="A406" s="7"/>
      <c r="B406" s="7"/>
      <c r="C406" s="7"/>
      <c r="D406" s="7"/>
      <c r="E406" s="7"/>
      <c r="F406" s="23"/>
      <c r="G406" s="7"/>
      <c r="H406" s="15">
        <f>IFERROR(__xludf.DUMMYFUNCTION("""COMPUTED_VALUE"""),43322.66666666667)</f>
        <v>43322.66667</v>
      </c>
      <c r="I406" s="16">
        <f>IFERROR(__xludf.DUMMYFUNCTION("""COMPUTED_VALUE"""),71.1)</f>
        <v>71.1</v>
      </c>
      <c r="J406" s="7"/>
    </row>
    <row r="407">
      <c r="A407" s="7"/>
      <c r="B407" s="7"/>
      <c r="C407" s="7"/>
      <c r="D407" s="7"/>
      <c r="E407" s="7"/>
      <c r="F407" s="23"/>
      <c r="G407" s="7"/>
      <c r="H407" s="15">
        <f>IFERROR(__xludf.DUMMYFUNCTION("""COMPUTED_VALUE"""),43325.66666666667)</f>
        <v>43325.66667</v>
      </c>
      <c r="I407" s="16">
        <f>IFERROR(__xludf.DUMMYFUNCTION("""COMPUTED_VALUE"""),71.28)</f>
        <v>71.28</v>
      </c>
      <c r="J407" s="7"/>
    </row>
    <row r="408">
      <c r="A408" s="7"/>
      <c r="B408" s="7"/>
      <c r="C408" s="7"/>
      <c r="D408" s="7"/>
      <c r="E408" s="7"/>
      <c r="F408" s="23"/>
      <c r="G408" s="7"/>
      <c r="H408" s="15">
        <f>IFERROR(__xludf.DUMMYFUNCTION("""COMPUTED_VALUE"""),43326.66666666667)</f>
        <v>43326.66667</v>
      </c>
      <c r="I408" s="16">
        <f>IFERROR(__xludf.DUMMYFUNCTION("""COMPUTED_VALUE"""),69.53)</f>
        <v>69.53</v>
      </c>
      <c r="J408" s="7"/>
    </row>
    <row r="409">
      <c r="A409" s="7"/>
      <c r="B409" s="7"/>
      <c r="C409" s="7"/>
      <c r="D409" s="7"/>
      <c r="E409" s="7"/>
      <c r="F409" s="23"/>
      <c r="G409" s="7"/>
      <c r="H409" s="15">
        <f>IFERROR(__xludf.DUMMYFUNCTION("""COMPUTED_VALUE"""),43327.66666666667)</f>
        <v>43327.66667</v>
      </c>
      <c r="I409" s="16">
        <f>IFERROR(__xludf.DUMMYFUNCTION("""COMPUTED_VALUE"""),67.74)</f>
        <v>67.74</v>
      </c>
      <c r="J409" s="7"/>
    </row>
    <row r="410">
      <c r="A410" s="7"/>
      <c r="B410" s="7"/>
      <c r="C410" s="7"/>
      <c r="D410" s="7"/>
      <c r="E410" s="7"/>
      <c r="F410" s="23"/>
      <c r="G410" s="7"/>
      <c r="H410" s="15">
        <f>IFERROR(__xludf.DUMMYFUNCTION("""COMPUTED_VALUE"""),43328.66666666667)</f>
        <v>43328.66667</v>
      </c>
      <c r="I410" s="16">
        <f>IFERROR(__xludf.DUMMYFUNCTION("""COMPUTED_VALUE"""),67.09)</f>
        <v>67.09</v>
      </c>
      <c r="J410" s="7"/>
    </row>
    <row r="411">
      <c r="A411" s="7"/>
      <c r="B411" s="7"/>
      <c r="C411" s="7"/>
      <c r="D411" s="7"/>
      <c r="E411" s="7"/>
      <c r="F411" s="23"/>
      <c r="G411" s="7"/>
      <c r="H411" s="15">
        <f>IFERROR(__xludf.DUMMYFUNCTION("""COMPUTED_VALUE"""),43329.66666666667)</f>
        <v>43329.66667</v>
      </c>
      <c r="I411" s="16">
        <f>IFERROR(__xludf.DUMMYFUNCTION("""COMPUTED_VALUE"""),61.1)</f>
        <v>61.1</v>
      </c>
      <c r="J411" s="7"/>
    </row>
    <row r="412">
      <c r="A412" s="7"/>
      <c r="B412" s="7"/>
      <c r="C412" s="7"/>
      <c r="D412" s="7"/>
      <c r="E412" s="7"/>
      <c r="F412" s="23"/>
      <c r="G412" s="7"/>
      <c r="H412" s="15">
        <f>IFERROR(__xludf.DUMMYFUNCTION("""COMPUTED_VALUE"""),43332.66666666667)</f>
        <v>43332.66667</v>
      </c>
      <c r="I412" s="16">
        <f>IFERROR(__xludf.DUMMYFUNCTION("""COMPUTED_VALUE"""),61.69)</f>
        <v>61.69</v>
      </c>
      <c r="J412" s="7"/>
    </row>
    <row r="413">
      <c r="A413" s="7"/>
      <c r="B413" s="7"/>
      <c r="C413" s="7"/>
      <c r="D413" s="7"/>
      <c r="E413" s="7"/>
      <c r="F413" s="23"/>
      <c r="G413" s="7"/>
      <c r="H413" s="15">
        <f>IFERROR(__xludf.DUMMYFUNCTION("""COMPUTED_VALUE"""),43333.66666666667)</f>
        <v>43333.66667</v>
      </c>
      <c r="I413" s="16">
        <f>IFERROR(__xludf.DUMMYFUNCTION("""COMPUTED_VALUE"""),64.38)</f>
        <v>64.38</v>
      </c>
      <c r="J413" s="7"/>
    </row>
    <row r="414">
      <c r="A414" s="7"/>
      <c r="B414" s="7"/>
      <c r="C414" s="7"/>
      <c r="D414" s="7"/>
      <c r="E414" s="7"/>
      <c r="F414" s="23"/>
      <c r="G414" s="7"/>
      <c r="H414" s="15">
        <f>IFERROR(__xludf.DUMMYFUNCTION("""COMPUTED_VALUE"""),43334.66666666667)</f>
        <v>43334.66667</v>
      </c>
      <c r="I414" s="16">
        <f>IFERROR(__xludf.DUMMYFUNCTION("""COMPUTED_VALUE"""),64.33)</f>
        <v>64.33</v>
      </c>
      <c r="J414" s="7"/>
    </row>
    <row r="415">
      <c r="A415" s="7"/>
      <c r="B415" s="7"/>
      <c r="C415" s="7"/>
      <c r="D415" s="7"/>
      <c r="E415" s="7"/>
      <c r="F415" s="23"/>
      <c r="G415" s="7"/>
      <c r="H415" s="15">
        <f>IFERROR(__xludf.DUMMYFUNCTION("""COMPUTED_VALUE"""),43335.66666666667)</f>
        <v>43335.66667</v>
      </c>
      <c r="I415" s="16">
        <f>IFERROR(__xludf.DUMMYFUNCTION("""COMPUTED_VALUE"""),64.02)</f>
        <v>64.02</v>
      </c>
      <c r="J415" s="7"/>
    </row>
    <row r="416">
      <c r="A416" s="7"/>
      <c r="B416" s="7"/>
      <c r="C416" s="7"/>
      <c r="D416" s="7"/>
      <c r="E416" s="7"/>
      <c r="F416" s="23"/>
      <c r="G416" s="7"/>
      <c r="H416" s="15">
        <f>IFERROR(__xludf.DUMMYFUNCTION("""COMPUTED_VALUE"""),43336.66666666667)</f>
        <v>43336.66667</v>
      </c>
      <c r="I416" s="16">
        <f>IFERROR(__xludf.DUMMYFUNCTION("""COMPUTED_VALUE"""),64.56)</f>
        <v>64.56</v>
      </c>
      <c r="J416" s="7"/>
    </row>
    <row r="417">
      <c r="A417" s="7"/>
      <c r="B417" s="7"/>
      <c r="C417" s="7"/>
      <c r="D417" s="7"/>
      <c r="E417" s="7"/>
      <c r="F417" s="23"/>
      <c r="G417" s="7"/>
      <c r="H417" s="15">
        <f>IFERROR(__xludf.DUMMYFUNCTION("""COMPUTED_VALUE"""),43339.66666666667)</f>
        <v>43339.66667</v>
      </c>
      <c r="I417" s="16">
        <f>IFERROR(__xludf.DUMMYFUNCTION("""COMPUTED_VALUE"""),63.85)</f>
        <v>63.85</v>
      </c>
      <c r="J417" s="7"/>
    </row>
    <row r="418">
      <c r="A418" s="7"/>
      <c r="B418" s="7"/>
      <c r="C418" s="7"/>
      <c r="D418" s="7"/>
      <c r="E418" s="7"/>
      <c r="F418" s="23"/>
      <c r="G418" s="7"/>
      <c r="H418" s="15">
        <f>IFERROR(__xludf.DUMMYFUNCTION("""COMPUTED_VALUE"""),43340.66666666667)</f>
        <v>43340.66667</v>
      </c>
      <c r="I418" s="16">
        <f>IFERROR(__xludf.DUMMYFUNCTION("""COMPUTED_VALUE"""),62.37)</f>
        <v>62.37</v>
      </c>
      <c r="J418" s="7"/>
    </row>
    <row r="419">
      <c r="A419" s="7"/>
      <c r="B419" s="7"/>
      <c r="C419" s="7"/>
      <c r="D419" s="7"/>
      <c r="E419" s="7"/>
      <c r="F419" s="23"/>
      <c r="G419" s="7"/>
      <c r="H419" s="15">
        <f>IFERROR(__xludf.DUMMYFUNCTION("""COMPUTED_VALUE"""),43341.66666666667)</f>
        <v>43341.66667</v>
      </c>
      <c r="I419" s="16">
        <f>IFERROR(__xludf.DUMMYFUNCTION("""COMPUTED_VALUE"""),61.0)</f>
        <v>61</v>
      </c>
      <c r="J419" s="7"/>
    </row>
    <row r="420">
      <c r="A420" s="7"/>
      <c r="B420" s="7"/>
      <c r="C420" s="7"/>
      <c r="D420" s="7"/>
      <c r="E420" s="7"/>
      <c r="F420" s="23"/>
      <c r="G420" s="7"/>
      <c r="H420" s="15">
        <f>IFERROR(__xludf.DUMMYFUNCTION("""COMPUTED_VALUE"""),43342.66666666667)</f>
        <v>43342.66667</v>
      </c>
      <c r="I420" s="16">
        <f>IFERROR(__xludf.DUMMYFUNCTION("""COMPUTED_VALUE"""),60.63)</f>
        <v>60.63</v>
      </c>
      <c r="J420" s="7"/>
    </row>
    <row r="421">
      <c r="A421" s="7"/>
      <c r="B421" s="7"/>
      <c r="C421" s="7"/>
      <c r="D421" s="7"/>
      <c r="E421" s="7"/>
      <c r="F421" s="23"/>
      <c r="G421" s="7"/>
      <c r="H421" s="15">
        <f>IFERROR(__xludf.DUMMYFUNCTION("""COMPUTED_VALUE"""),43343.66666666667)</f>
        <v>43343.66667</v>
      </c>
      <c r="I421" s="16">
        <f>IFERROR(__xludf.DUMMYFUNCTION("""COMPUTED_VALUE"""),60.33)</f>
        <v>60.33</v>
      </c>
      <c r="J421" s="7"/>
    </row>
    <row r="422">
      <c r="A422" s="7"/>
      <c r="B422" s="7"/>
      <c r="C422" s="7"/>
      <c r="D422" s="7"/>
      <c r="E422" s="7"/>
      <c r="F422" s="23"/>
      <c r="G422" s="7"/>
      <c r="H422" s="15">
        <f>IFERROR(__xludf.DUMMYFUNCTION("""COMPUTED_VALUE"""),43347.66666666667)</f>
        <v>43347.66667</v>
      </c>
      <c r="I422" s="16">
        <f>IFERROR(__xludf.DUMMYFUNCTION("""COMPUTED_VALUE"""),57.79)</f>
        <v>57.79</v>
      </c>
      <c r="J422" s="7"/>
    </row>
    <row r="423">
      <c r="A423" s="7"/>
      <c r="B423" s="7"/>
      <c r="C423" s="7"/>
      <c r="D423" s="7"/>
      <c r="E423" s="7"/>
      <c r="F423" s="23"/>
      <c r="G423" s="7"/>
      <c r="H423" s="15">
        <f>IFERROR(__xludf.DUMMYFUNCTION("""COMPUTED_VALUE"""),43348.66666666667)</f>
        <v>43348.66667</v>
      </c>
      <c r="I423" s="16">
        <f>IFERROR(__xludf.DUMMYFUNCTION("""COMPUTED_VALUE"""),56.15)</f>
        <v>56.15</v>
      </c>
      <c r="J423" s="7"/>
    </row>
    <row r="424">
      <c r="A424" s="7"/>
      <c r="B424" s="7"/>
      <c r="C424" s="7"/>
      <c r="D424" s="7"/>
      <c r="E424" s="7"/>
      <c r="F424" s="23"/>
      <c r="G424" s="7"/>
      <c r="H424" s="15">
        <f>IFERROR(__xludf.DUMMYFUNCTION("""COMPUTED_VALUE"""),43349.66666666667)</f>
        <v>43349.66667</v>
      </c>
      <c r="I424" s="16">
        <f>IFERROR(__xludf.DUMMYFUNCTION("""COMPUTED_VALUE"""),56.19)</f>
        <v>56.19</v>
      </c>
      <c r="J424" s="7"/>
    </row>
    <row r="425">
      <c r="A425" s="7"/>
      <c r="B425" s="7"/>
      <c r="C425" s="7"/>
      <c r="D425" s="7"/>
      <c r="E425" s="7"/>
      <c r="F425" s="23"/>
      <c r="G425" s="7"/>
      <c r="H425" s="15">
        <f>IFERROR(__xludf.DUMMYFUNCTION("""COMPUTED_VALUE"""),43350.66666666667)</f>
        <v>43350.66667</v>
      </c>
      <c r="I425" s="16">
        <f>IFERROR(__xludf.DUMMYFUNCTION("""COMPUTED_VALUE"""),52.65)</f>
        <v>52.65</v>
      </c>
      <c r="J425" s="7"/>
    </row>
    <row r="426">
      <c r="A426" s="7"/>
      <c r="B426" s="7"/>
      <c r="C426" s="7"/>
      <c r="D426" s="7"/>
      <c r="E426" s="7"/>
      <c r="F426" s="23"/>
      <c r="G426" s="7"/>
      <c r="H426" s="15">
        <f>IFERROR(__xludf.DUMMYFUNCTION("""COMPUTED_VALUE"""),43353.66666666667)</f>
        <v>43353.66667</v>
      </c>
      <c r="I426" s="16">
        <f>IFERROR(__xludf.DUMMYFUNCTION("""COMPUTED_VALUE"""),57.1)</f>
        <v>57.1</v>
      </c>
      <c r="J426" s="7"/>
    </row>
    <row r="427">
      <c r="A427" s="7"/>
      <c r="B427" s="7"/>
      <c r="C427" s="7"/>
      <c r="D427" s="7"/>
      <c r="E427" s="7"/>
      <c r="F427" s="23"/>
      <c r="G427" s="7"/>
      <c r="H427" s="15">
        <f>IFERROR(__xludf.DUMMYFUNCTION("""COMPUTED_VALUE"""),43354.66666666667)</f>
        <v>43354.66667</v>
      </c>
      <c r="I427" s="16">
        <f>IFERROR(__xludf.DUMMYFUNCTION("""COMPUTED_VALUE"""),55.89)</f>
        <v>55.89</v>
      </c>
      <c r="J427" s="7"/>
    </row>
    <row r="428">
      <c r="A428" s="7"/>
      <c r="B428" s="7"/>
      <c r="C428" s="7"/>
      <c r="D428" s="7"/>
      <c r="E428" s="7"/>
      <c r="F428" s="23"/>
      <c r="G428" s="7"/>
      <c r="H428" s="15">
        <f>IFERROR(__xludf.DUMMYFUNCTION("""COMPUTED_VALUE"""),43355.66666666667)</f>
        <v>43355.66667</v>
      </c>
      <c r="I428" s="16">
        <f>IFERROR(__xludf.DUMMYFUNCTION("""COMPUTED_VALUE"""),58.11)</f>
        <v>58.11</v>
      </c>
      <c r="J428" s="7"/>
    </row>
    <row r="429">
      <c r="A429" s="7"/>
      <c r="B429" s="7"/>
      <c r="C429" s="7"/>
      <c r="D429" s="7"/>
      <c r="E429" s="7"/>
      <c r="F429" s="23"/>
      <c r="G429" s="7"/>
      <c r="H429" s="15">
        <f>IFERROR(__xludf.DUMMYFUNCTION("""COMPUTED_VALUE"""),43356.66666666667)</f>
        <v>43356.66667</v>
      </c>
      <c r="I429" s="16">
        <f>IFERROR(__xludf.DUMMYFUNCTION("""COMPUTED_VALUE"""),57.89)</f>
        <v>57.89</v>
      </c>
      <c r="J429" s="7"/>
    </row>
    <row r="430">
      <c r="A430" s="7"/>
      <c r="B430" s="7"/>
      <c r="C430" s="7"/>
      <c r="D430" s="7"/>
      <c r="E430" s="7"/>
      <c r="F430" s="23"/>
      <c r="G430" s="7"/>
      <c r="H430" s="15">
        <f>IFERROR(__xludf.DUMMYFUNCTION("""COMPUTED_VALUE"""),43357.66666666667)</f>
        <v>43357.66667</v>
      </c>
      <c r="I430" s="16">
        <f>IFERROR(__xludf.DUMMYFUNCTION("""COMPUTED_VALUE"""),59.04)</f>
        <v>59.04</v>
      </c>
      <c r="J430" s="7"/>
    </row>
    <row r="431">
      <c r="A431" s="7"/>
      <c r="B431" s="7"/>
      <c r="C431" s="7"/>
      <c r="D431" s="7"/>
      <c r="E431" s="7"/>
      <c r="F431" s="23"/>
      <c r="G431" s="7"/>
      <c r="H431" s="15">
        <f>IFERROR(__xludf.DUMMYFUNCTION("""COMPUTED_VALUE"""),43360.66666666667)</f>
        <v>43360.66667</v>
      </c>
      <c r="I431" s="16">
        <f>IFERROR(__xludf.DUMMYFUNCTION("""COMPUTED_VALUE"""),58.97)</f>
        <v>58.97</v>
      </c>
      <c r="J431" s="7"/>
    </row>
    <row r="432">
      <c r="A432" s="7"/>
      <c r="B432" s="7"/>
      <c r="C432" s="7"/>
      <c r="D432" s="7"/>
      <c r="E432" s="7"/>
      <c r="F432" s="23"/>
      <c r="G432" s="7"/>
      <c r="H432" s="15">
        <f>IFERROR(__xludf.DUMMYFUNCTION("""COMPUTED_VALUE"""),43361.66666666667)</f>
        <v>43361.66667</v>
      </c>
      <c r="I432" s="16">
        <f>IFERROR(__xludf.DUMMYFUNCTION("""COMPUTED_VALUE"""),56.99)</f>
        <v>56.99</v>
      </c>
      <c r="J432" s="7"/>
    </row>
    <row r="433">
      <c r="A433" s="7"/>
      <c r="B433" s="7"/>
      <c r="C433" s="7"/>
      <c r="D433" s="7"/>
      <c r="E433" s="7"/>
      <c r="F433" s="23"/>
      <c r="G433" s="7"/>
      <c r="H433" s="15">
        <f>IFERROR(__xludf.DUMMYFUNCTION("""COMPUTED_VALUE"""),43362.66666666667)</f>
        <v>43362.66667</v>
      </c>
      <c r="I433" s="16">
        <f>IFERROR(__xludf.DUMMYFUNCTION("""COMPUTED_VALUE"""),59.8)</f>
        <v>59.8</v>
      </c>
      <c r="J433" s="7"/>
    </row>
    <row r="434">
      <c r="A434" s="7"/>
      <c r="B434" s="7"/>
      <c r="C434" s="7"/>
      <c r="D434" s="7"/>
      <c r="E434" s="7"/>
      <c r="F434" s="23"/>
      <c r="G434" s="7"/>
      <c r="H434" s="15">
        <f>IFERROR(__xludf.DUMMYFUNCTION("""COMPUTED_VALUE"""),43363.66666666667)</f>
        <v>43363.66667</v>
      </c>
      <c r="I434" s="16">
        <f>IFERROR(__xludf.DUMMYFUNCTION("""COMPUTED_VALUE"""),59.67)</f>
        <v>59.67</v>
      </c>
      <c r="J434" s="7"/>
    </row>
    <row r="435">
      <c r="A435" s="7"/>
      <c r="B435" s="7"/>
      <c r="C435" s="7"/>
      <c r="D435" s="7"/>
      <c r="E435" s="7"/>
      <c r="F435" s="23"/>
      <c r="G435" s="7"/>
      <c r="H435" s="15">
        <f>IFERROR(__xludf.DUMMYFUNCTION("""COMPUTED_VALUE"""),43364.66666666667)</f>
        <v>43364.66667</v>
      </c>
      <c r="I435" s="16">
        <f>IFERROR(__xludf.DUMMYFUNCTION("""COMPUTED_VALUE"""),59.82)</f>
        <v>59.82</v>
      </c>
      <c r="J435" s="7"/>
    </row>
    <row r="436">
      <c r="A436" s="7"/>
      <c r="B436" s="7"/>
      <c r="C436" s="7"/>
      <c r="D436" s="7"/>
      <c r="E436" s="7"/>
      <c r="F436" s="23"/>
      <c r="G436" s="7"/>
      <c r="H436" s="15">
        <f>IFERROR(__xludf.DUMMYFUNCTION("""COMPUTED_VALUE"""),43367.66666666667)</f>
        <v>43367.66667</v>
      </c>
      <c r="I436" s="16">
        <f>IFERROR(__xludf.DUMMYFUNCTION("""COMPUTED_VALUE"""),59.94)</f>
        <v>59.94</v>
      </c>
      <c r="J436" s="7"/>
    </row>
    <row r="437">
      <c r="A437" s="7"/>
      <c r="B437" s="7"/>
      <c r="C437" s="7"/>
      <c r="D437" s="7"/>
      <c r="E437" s="7"/>
      <c r="F437" s="23"/>
      <c r="G437" s="7"/>
      <c r="H437" s="15">
        <f>IFERROR(__xludf.DUMMYFUNCTION("""COMPUTED_VALUE"""),43368.66666666667)</f>
        <v>43368.66667</v>
      </c>
      <c r="I437" s="16">
        <f>IFERROR(__xludf.DUMMYFUNCTION("""COMPUTED_VALUE"""),60.2)</f>
        <v>60.2</v>
      </c>
      <c r="J437" s="7"/>
    </row>
    <row r="438">
      <c r="A438" s="7"/>
      <c r="B438" s="7"/>
      <c r="C438" s="7"/>
      <c r="D438" s="7"/>
      <c r="E438" s="7"/>
      <c r="F438" s="23"/>
      <c r="G438" s="7"/>
      <c r="H438" s="15">
        <f>IFERROR(__xludf.DUMMYFUNCTION("""COMPUTED_VALUE"""),43369.66666666667)</f>
        <v>43369.66667</v>
      </c>
      <c r="I438" s="16">
        <f>IFERROR(__xludf.DUMMYFUNCTION("""COMPUTED_VALUE"""),61.92)</f>
        <v>61.92</v>
      </c>
      <c r="J438" s="7"/>
    </row>
    <row r="439">
      <c r="A439" s="7"/>
      <c r="B439" s="7"/>
      <c r="C439" s="7"/>
      <c r="D439" s="7"/>
      <c r="E439" s="7"/>
      <c r="F439" s="23"/>
      <c r="G439" s="7"/>
      <c r="H439" s="15">
        <f>IFERROR(__xludf.DUMMYFUNCTION("""COMPUTED_VALUE"""),43370.66666666667)</f>
        <v>43370.66667</v>
      </c>
      <c r="I439" s="16">
        <f>IFERROR(__xludf.DUMMYFUNCTION("""COMPUTED_VALUE"""),61.5)</f>
        <v>61.5</v>
      </c>
      <c r="J439" s="7"/>
    </row>
    <row r="440">
      <c r="A440" s="7"/>
      <c r="B440" s="7"/>
      <c r="C440" s="7"/>
      <c r="D440" s="7"/>
      <c r="E440" s="7"/>
      <c r="F440" s="23"/>
      <c r="G440" s="7"/>
      <c r="H440" s="15">
        <f>IFERROR(__xludf.DUMMYFUNCTION("""COMPUTED_VALUE"""),43371.66666666667)</f>
        <v>43371.66667</v>
      </c>
      <c r="I440" s="16">
        <f>IFERROR(__xludf.DUMMYFUNCTION("""COMPUTED_VALUE"""),52.95)</f>
        <v>52.95</v>
      </c>
      <c r="J440" s="7"/>
    </row>
    <row r="441">
      <c r="A441" s="7"/>
      <c r="B441" s="7"/>
      <c r="C441" s="7"/>
      <c r="D441" s="7"/>
      <c r="E441" s="7"/>
      <c r="F441" s="23"/>
      <c r="G441" s="7"/>
      <c r="H441" s="15">
        <f>IFERROR(__xludf.DUMMYFUNCTION("""COMPUTED_VALUE"""),43374.66666666667)</f>
        <v>43374.66667</v>
      </c>
      <c r="I441" s="16">
        <f>IFERROR(__xludf.DUMMYFUNCTION("""COMPUTED_VALUE"""),62.14)</f>
        <v>62.14</v>
      </c>
      <c r="J441" s="7"/>
    </row>
    <row r="442">
      <c r="A442" s="7"/>
      <c r="B442" s="7"/>
      <c r="C442" s="7"/>
      <c r="D442" s="7"/>
      <c r="E442" s="7"/>
      <c r="F442" s="23"/>
      <c r="G442" s="7"/>
      <c r="H442" s="15">
        <f>IFERROR(__xludf.DUMMYFUNCTION("""COMPUTED_VALUE"""),43375.66666666667)</f>
        <v>43375.66667</v>
      </c>
      <c r="I442" s="16">
        <f>IFERROR(__xludf.DUMMYFUNCTION("""COMPUTED_VALUE"""),60.2)</f>
        <v>60.2</v>
      </c>
      <c r="J442" s="7"/>
    </row>
    <row r="443">
      <c r="A443" s="7"/>
      <c r="B443" s="7"/>
      <c r="C443" s="7"/>
      <c r="D443" s="7"/>
      <c r="E443" s="7"/>
      <c r="F443" s="23"/>
      <c r="G443" s="7"/>
      <c r="H443" s="15">
        <f>IFERROR(__xludf.DUMMYFUNCTION("""COMPUTED_VALUE"""),43376.66666666667)</f>
        <v>43376.66667</v>
      </c>
      <c r="I443" s="16">
        <f>IFERROR(__xludf.DUMMYFUNCTION("""COMPUTED_VALUE"""),58.96)</f>
        <v>58.96</v>
      </c>
      <c r="J443" s="7"/>
    </row>
    <row r="444">
      <c r="A444" s="7"/>
      <c r="B444" s="7"/>
      <c r="C444" s="7"/>
      <c r="D444" s="7"/>
      <c r="E444" s="7"/>
      <c r="F444" s="23"/>
      <c r="G444" s="7"/>
      <c r="H444" s="15">
        <f>IFERROR(__xludf.DUMMYFUNCTION("""COMPUTED_VALUE"""),43377.66666666667)</f>
        <v>43377.66667</v>
      </c>
      <c r="I444" s="16">
        <f>IFERROR(__xludf.DUMMYFUNCTION("""COMPUTED_VALUE"""),56.37)</f>
        <v>56.37</v>
      </c>
      <c r="J444" s="7"/>
    </row>
    <row r="445">
      <c r="A445" s="7"/>
      <c r="B445" s="7"/>
      <c r="C445" s="7"/>
      <c r="D445" s="7"/>
      <c r="E445" s="7"/>
      <c r="F445" s="23"/>
      <c r="G445" s="7"/>
      <c r="H445" s="15">
        <f>IFERROR(__xludf.DUMMYFUNCTION("""COMPUTED_VALUE"""),43378.66666666667)</f>
        <v>43378.66667</v>
      </c>
      <c r="I445" s="16">
        <f>IFERROR(__xludf.DUMMYFUNCTION("""COMPUTED_VALUE"""),52.39)</f>
        <v>52.39</v>
      </c>
      <c r="J445" s="7"/>
    </row>
    <row r="446">
      <c r="A446" s="7"/>
      <c r="B446" s="7"/>
      <c r="C446" s="7"/>
      <c r="D446" s="7"/>
      <c r="E446" s="7"/>
      <c r="F446" s="23"/>
      <c r="G446" s="7"/>
      <c r="H446" s="15">
        <f>IFERROR(__xludf.DUMMYFUNCTION("""COMPUTED_VALUE"""),43381.66666666667)</f>
        <v>43381.66667</v>
      </c>
      <c r="I446" s="16">
        <f>IFERROR(__xludf.DUMMYFUNCTION("""COMPUTED_VALUE"""),50.11)</f>
        <v>50.11</v>
      </c>
      <c r="J446" s="7"/>
    </row>
    <row r="447">
      <c r="A447" s="7"/>
      <c r="B447" s="7"/>
      <c r="C447" s="7"/>
      <c r="D447" s="7"/>
      <c r="E447" s="7"/>
      <c r="F447" s="23"/>
      <c r="G447" s="7"/>
      <c r="H447" s="15">
        <f>IFERROR(__xludf.DUMMYFUNCTION("""COMPUTED_VALUE"""),43382.66666666667)</f>
        <v>43382.66667</v>
      </c>
      <c r="I447" s="16">
        <f>IFERROR(__xludf.DUMMYFUNCTION("""COMPUTED_VALUE"""),52.56)</f>
        <v>52.56</v>
      </c>
      <c r="J447" s="7"/>
    </row>
    <row r="448">
      <c r="A448" s="7"/>
      <c r="B448" s="7"/>
      <c r="C448" s="7"/>
      <c r="D448" s="7"/>
      <c r="E448" s="7"/>
      <c r="F448" s="23"/>
      <c r="G448" s="7"/>
      <c r="H448" s="15">
        <f>IFERROR(__xludf.DUMMYFUNCTION("""COMPUTED_VALUE"""),43383.66666666667)</f>
        <v>43383.66667</v>
      </c>
      <c r="I448" s="16">
        <f>IFERROR(__xludf.DUMMYFUNCTION("""COMPUTED_VALUE"""),51.38)</f>
        <v>51.38</v>
      </c>
      <c r="J448" s="7"/>
    </row>
    <row r="449">
      <c r="A449" s="7"/>
      <c r="B449" s="7"/>
      <c r="C449" s="7"/>
      <c r="D449" s="7"/>
      <c r="E449" s="7"/>
      <c r="F449" s="23"/>
      <c r="G449" s="7"/>
      <c r="H449" s="15">
        <f>IFERROR(__xludf.DUMMYFUNCTION("""COMPUTED_VALUE"""),43384.66666666667)</f>
        <v>43384.66667</v>
      </c>
      <c r="I449" s="16">
        <f>IFERROR(__xludf.DUMMYFUNCTION("""COMPUTED_VALUE"""),50.45)</f>
        <v>50.45</v>
      </c>
      <c r="J449" s="7"/>
    </row>
    <row r="450">
      <c r="A450" s="7"/>
      <c r="B450" s="7"/>
      <c r="C450" s="7"/>
      <c r="D450" s="7"/>
      <c r="E450" s="7"/>
      <c r="F450" s="23"/>
      <c r="G450" s="7"/>
      <c r="H450" s="15">
        <f>IFERROR(__xludf.DUMMYFUNCTION("""COMPUTED_VALUE"""),43385.66666666667)</f>
        <v>43385.66667</v>
      </c>
      <c r="I450" s="16">
        <f>IFERROR(__xludf.DUMMYFUNCTION("""COMPUTED_VALUE"""),51.76)</f>
        <v>51.76</v>
      </c>
      <c r="J450" s="7"/>
    </row>
    <row r="451">
      <c r="A451" s="7"/>
      <c r="B451" s="7"/>
      <c r="C451" s="7"/>
      <c r="D451" s="7"/>
      <c r="E451" s="7"/>
      <c r="F451" s="23"/>
      <c r="G451" s="7"/>
      <c r="H451" s="15">
        <f>IFERROR(__xludf.DUMMYFUNCTION("""COMPUTED_VALUE"""),43388.66666666667)</f>
        <v>43388.66667</v>
      </c>
      <c r="I451" s="16">
        <f>IFERROR(__xludf.DUMMYFUNCTION("""COMPUTED_VALUE"""),51.92)</f>
        <v>51.92</v>
      </c>
      <c r="J451" s="7"/>
    </row>
    <row r="452">
      <c r="A452" s="7"/>
      <c r="B452" s="7"/>
      <c r="C452" s="7"/>
      <c r="D452" s="7"/>
      <c r="E452" s="7"/>
      <c r="F452" s="23"/>
      <c r="G452" s="7"/>
      <c r="H452" s="15">
        <f>IFERROR(__xludf.DUMMYFUNCTION("""COMPUTED_VALUE"""),43389.66666666667)</f>
        <v>43389.66667</v>
      </c>
      <c r="I452" s="16">
        <f>IFERROR(__xludf.DUMMYFUNCTION("""COMPUTED_VALUE"""),55.32)</f>
        <v>55.32</v>
      </c>
      <c r="J452" s="7"/>
    </row>
    <row r="453">
      <c r="A453" s="7"/>
      <c r="B453" s="7"/>
      <c r="C453" s="7"/>
      <c r="D453" s="7"/>
      <c r="E453" s="7"/>
      <c r="F453" s="23"/>
      <c r="G453" s="7"/>
      <c r="H453" s="15">
        <f>IFERROR(__xludf.DUMMYFUNCTION("""COMPUTED_VALUE"""),43390.66666666667)</f>
        <v>43390.66667</v>
      </c>
      <c r="I453" s="16">
        <f>IFERROR(__xludf.DUMMYFUNCTION("""COMPUTED_VALUE"""),54.36)</f>
        <v>54.36</v>
      </c>
      <c r="J453" s="7"/>
    </row>
    <row r="454">
      <c r="A454" s="7"/>
      <c r="B454" s="7"/>
      <c r="C454" s="7"/>
      <c r="D454" s="7"/>
      <c r="E454" s="7"/>
      <c r="F454" s="23"/>
      <c r="G454" s="7"/>
      <c r="H454" s="15">
        <f>IFERROR(__xludf.DUMMYFUNCTION("""COMPUTED_VALUE"""),43391.66666666667)</f>
        <v>43391.66667</v>
      </c>
      <c r="I454" s="16">
        <f>IFERROR(__xludf.DUMMYFUNCTION("""COMPUTED_VALUE"""),52.78)</f>
        <v>52.78</v>
      </c>
      <c r="J454" s="7"/>
    </row>
    <row r="455">
      <c r="A455" s="7"/>
      <c r="B455" s="7"/>
      <c r="C455" s="7"/>
      <c r="D455" s="7"/>
      <c r="E455" s="7"/>
      <c r="F455" s="23"/>
      <c r="G455" s="7"/>
      <c r="H455" s="15">
        <f>IFERROR(__xludf.DUMMYFUNCTION("""COMPUTED_VALUE"""),43392.66666666667)</f>
        <v>43392.66667</v>
      </c>
      <c r="I455" s="16">
        <f>IFERROR(__xludf.DUMMYFUNCTION("""COMPUTED_VALUE"""),52.0)</f>
        <v>52</v>
      </c>
      <c r="J455" s="7"/>
    </row>
    <row r="456">
      <c r="A456" s="7"/>
      <c r="B456" s="7"/>
      <c r="C456" s="7"/>
      <c r="D456" s="7"/>
      <c r="E456" s="7"/>
      <c r="F456" s="23"/>
      <c r="G456" s="7"/>
      <c r="H456" s="15">
        <f>IFERROR(__xludf.DUMMYFUNCTION("""COMPUTED_VALUE"""),43395.66666666667)</f>
        <v>43395.66667</v>
      </c>
      <c r="I456" s="16">
        <f>IFERROR(__xludf.DUMMYFUNCTION("""COMPUTED_VALUE"""),52.19)</f>
        <v>52.19</v>
      </c>
      <c r="J456" s="7"/>
    </row>
    <row r="457">
      <c r="A457" s="7"/>
      <c r="B457" s="7"/>
      <c r="C457" s="7"/>
      <c r="D457" s="7"/>
      <c r="E457" s="7"/>
      <c r="F457" s="23"/>
      <c r="G457" s="7"/>
      <c r="H457" s="15">
        <f>IFERROR(__xludf.DUMMYFUNCTION("""COMPUTED_VALUE"""),43396.66666666667)</f>
        <v>43396.66667</v>
      </c>
      <c r="I457" s="16">
        <f>IFERROR(__xludf.DUMMYFUNCTION("""COMPUTED_VALUE"""),58.83)</f>
        <v>58.83</v>
      </c>
      <c r="J457" s="7"/>
    </row>
    <row r="458">
      <c r="A458" s="7"/>
      <c r="B458" s="7"/>
      <c r="C458" s="7"/>
      <c r="D458" s="7"/>
      <c r="E458" s="7"/>
      <c r="F458" s="23"/>
      <c r="G458" s="7"/>
      <c r="H458" s="15">
        <f>IFERROR(__xludf.DUMMYFUNCTION("""COMPUTED_VALUE"""),43397.66666666667)</f>
        <v>43397.66667</v>
      </c>
      <c r="I458" s="16">
        <f>IFERROR(__xludf.DUMMYFUNCTION("""COMPUTED_VALUE"""),57.7)</f>
        <v>57.7</v>
      </c>
      <c r="J458" s="7"/>
    </row>
    <row r="459">
      <c r="A459" s="7"/>
      <c r="B459" s="7"/>
      <c r="C459" s="7"/>
      <c r="D459" s="7"/>
      <c r="E459" s="7"/>
      <c r="F459" s="23"/>
      <c r="G459" s="7"/>
      <c r="H459" s="15">
        <f>IFERROR(__xludf.DUMMYFUNCTION("""COMPUTED_VALUE"""),43398.66666666667)</f>
        <v>43398.66667</v>
      </c>
      <c r="I459" s="16">
        <f>IFERROR(__xludf.DUMMYFUNCTION("""COMPUTED_VALUE"""),62.97)</f>
        <v>62.97</v>
      </c>
      <c r="J459" s="7"/>
    </row>
    <row r="460">
      <c r="A460" s="7"/>
      <c r="B460" s="7"/>
      <c r="C460" s="7"/>
      <c r="D460" s="7"/>
      <c r="E460" s="7"/>
      <c r="F460" s="23"/>
      <c r="G460" s="7"/>
      <c r="H460" s="15">
        <f>IFERROR(__xludf.DUMMYFUNCTION("""COMPUTED_VALUE"""),43399.66666666667)</f>
        <v>43399.66667</v>
      </c>
      <c r="I460" s="16">
        <f>IFERROR(__xludf.DUMMYFUNCTION("""COMPUTED_VALUE"""),66.18)</f>
        <v>66.18</v>
      </c>
      <c r="J460" s="7"/>
    </row>
    <row r="461">
      <c r="A461" s="7"/>
      <c r="B461" s="7"/>
      <c r="C461" s="7"/>
      <c r="D461" s="7"/>
      <c r="E461" s="7"/>
      <c r="F461" s="23"/>
      <c r="G461" s="7"/>
      <c r="H461" s="15">
        <f>IFERROR(__xludf.DUMMYFUNCTION("""COMPUTED_VALUE"""),43402.66666666667)</f>
        <v>43402.66667</v>
      </c>
      <c r="I461" s="16">
        <f>IFERROR(__xludf.DUMMYFUNCTION("""COMPUTED_VALUE"""),66.97)</f>
        <v>66.97</v>
      </c>
      <c r="J461" s="7"/>
    </row>
    <row r="462">
      <c r="A462" s="7"/>
      <c r="B462" s="7"/>
      <c r="C462" s="7"/>
      <c r="D462" s="7"/>
      <c r="E462" s="7"/>
      <c r="F462" s="23"/>
      <c r="G462" s="7"/>
      <c r="H462" s="15">
        <f>IFERROR(__xludf.DUMMYFUNCTION("""COMPUTED_VALUE"""),43403.66666666667)</f>
        <v>43403.66667</v>
      </c>
      <c r="I462" s="16">
        <f>IFERROR(__xludf.DUMMYFUNCTION("""COMPUTED_VALUE"""),65.98)</f>
        <v>65.98</v>
      </c>
      <c r="J462" s="7"/>
    </row>
    <row r="463">
      <c r="A463" s="7"/>
      <c r="B463" s="7"/>
      <c r="C463" s="7"/>
      <c r="D463" s="7"/>
      <c r="E463" s="7"/>
      <c r="F463" s="23"/>
      <c r="G463" s="7"/>
      <c r="H463" s="15">
        <f>IFERROR(__xludf.DUMMYFUNCTION("""COMPUTED_VALUE"""),43404.66666666667)</f>
        <v>43404.66667</v>
      </c>
      <c r="I463" s="16">
        <f>IFERROR(__xludf.DUMMYFUNCTION("""COMPUTED_VALUE"""),67.46)</f>
        <v>67.46</v>
      </c>
      <c r="J463" s="7"/>
    </row>
    <row r="464">
      <c r="A464" s="7"/>
      <c r="B464" s="7"/>
      <c r="C464" s="7"/>
      <c r="D464" s="7"/>
      <c r="E464" s="7"/>
      <c r="F464" s="23"/>
      <c r="G464" s="7"/>
      <c r="H464" s="15">
        <f>IFERROR(__xludf.DUMMYFUNCTION("""COMPUTED_VALUE"""),43405.66666666667)</f>
        <v>43405.66667</v>
      </c>
      <c r="I464" s="16">
        <f>IFERROR(__xludf.DUMMYFUNCTION("""COMPUTED_VALUE"""),68.86)</f>
        <v>68.86</v>
      </c>
      <c r="J464" s="7"/>
    </row>
    <row r="465">
      <c r="A465" s="7"/>
      <c r="B465" s="7"/>
      <c r="C465" s="7"/>
      <c r="D465" s="7"/>
      <c r="E465" s="7"/>
      <c r="F465" s="23"/>
      <c r="G465" s="7"/>
      <c r="H465" s="15">
        <f>IFERROR(__xludf.DUMMYFUNCTION("""COMPUTED_VALUE"""),43406.66666666667)</f>
        <v>43406.66667</v>
      </c>
      <c r="I465" s="16">
        <f>IFERROR(__xludf.DUMMYFUNCTION("""COMPUTED_VALUE"""),69.28)</f>
        <v>69.28</v>
      </c>
      <c r="J465" s="7"/>
    </row>
    <row r="466">
      <c r="A466" s="7"/>
      <c r="B466" s="7"/>
      <c r="C466" s="7"/>
      <c r="D466" s="7"/>
      <c r="E466" s="7"/>
      <c r="F466" s="23"/>
      <c r="G466" s="7"/>
      <c r="H466" s="15">
        <f>IFERROR(__xludf.DUMMYFUNCTION("""COMPUTED_VALUE"""),43409.66666666667)</f>
        <v>43409.66667</v>
      </c>
      <c r="I466" s="16">
        <f>IFERROR(__xludf.DUMMYFUNCTION("""COMPUTED_VALUE"""),68.28)</f>
        <v>68.28</v>
      </c>
      <c r="J466" s="7"/>
    </row>
    <row r="467">
      <c r="A467" s="7"/>
      <c r="B467" s="7"/>
      <c r="C467" s="7"/>
      <c r="D467" s="7"/>
      <c r="E467" s="7"/>
      <c r="F467" s="23"/>
      <c r="G467" s="7"/>
      <c r="H467" s="15">
        <f>IFERROR(__xludf.DUMMYFUNCTION("""COMPUTED_VALUE"""),43410.66666666667)</f>
        <v>43410.66667</v>
      </c>
      <c r="I467" s="16">
        <f>IFERROR(__xludf.DUMMYFUNCTION("""COMPUTED_VALUE"""),68.21)</f>
        <v>68.21</v>
      </c>
      <c r="J467" s="7"/>
    </row>
    <row r="468">
      <c r="A468" s="7"/>
      <c r="B468" s="7"/>
      <c r="C468" s="7"/>
      <c r="D468" s="7"/>
      <c r="E468" s="7"/>
      <c r="F468" s="23"/>
      <c r="G468" s="7"/>
      <c r="H468" s="15">
        <f>IFERROR(__xludf.DUMMYFUNCTION("""COMPUTED_VALUE"""),43411.66666666667)</f>
        <v>43411.66667</v>
      </c>
      <c r="I468" s="16">
        <f>IFERROR(__xludf.DUMMYFUNCTION("""COMPUTED_VALUE"""),69.63)</f>
        <v>69.63</v>
      </c>
      <c r="J468" s="7"/>
    </row>
    <row r="469">
      <c r="A469" s="7"/>
      <c r="B469" s="7"/>
      <c r="C469" s="7"/>
      <c r="D469" s="7"/>
      <c r="E469" s="7"/>
      <c r="F469" s="23"/>
      <c r="G469" s="7"/>
      <c r="H469" s="15">
        <f>IFERROR(__xludf.DUMMYFUNCTION("""COMPUTED_VALUE"""),43412.66666666667)</f>
        <v>43412.66667</v>
      </c>
      <c r="I469" s="16">
        <f>IFERROR(__xludf.DUMMYFUNCTION("""COMPUTED_VALUE"""),70.28)</f>
        <v>70.28</v>
      </c>
      <c r="J469" s="7"/>
    </row>
    <row r="470">
      <c r="A470" s="7"/>
      <c r="B470" s="7"/>
      <c r="C470" s="7"/>
      <c r="D470" s="7"/>
      <c r="E470" s="7"/>
      <c r="F470" s="23"/>
      <c r="G470" s="7"/>
      <c r="H470" s="15">
        <f>IFERROR(__xludf.DUMMYFUNCTION("""COMPUTED_VALUE"""),43413.66666666667)</f>
        <v>43413.66667</v>
      </c>
      <c r="I470" s="16">
        <f>IFERROR(__xludf.DUMMYFUNCTION("""COMPUTED_VALUE"""),70.1)</f>
        <v>70.1</v>
      </c>
      <c r="J470" s="7"/>
    </row>
    <row r="471">
      <c r="A471" s="7"/>
      <c r="B471" s="7"/>
      <c r="C471" s="7"/>
      <c r="D471" s="7"/>
      <c r="E471" s="7"/>
      <c r="F471" s="7"/>
      <c r="G471" s="7"/>
      <c r="H471" s="15">
        <f>IFERROR(__xludf.DUMMYFUNCTION("""COMPUTED_VALUE"""),43416.66666666667)</f>
        <v>43416.66667</v>
      </c>
      <c r="I471" s="16">
        <f>IFERROR(__xludf.DUMMYFUNCTION("""COMPUTED_VALUE"""),66.26)</f>
        <v>66.26</v>
      </c>
      <c r="J471" s="7"/>
    </row>
    <row r="472">
      <c r="A472" s="7"/>
      <c r="B472" s="7"/>
      <c r="C472" s="7"/>
      <c r="D472" s="7"/>
      <c r="E472" s="7"/>
      <c r="F472" s="7"/>
      <c r="G472" s="7"/>
      <c r="H472" s="15">
        <f>IFERROR(__xludf.DUMMYFUNCTION("""COMPUTED_VALUE"""),43417.66666666667)</f>
        <v>43417.66667</v>
      </c>
      <c r="I472" s="16">
        <f>IFERROR(__xludf.DUMMYFUNCTION("""COMPUTED_VALUE"""),67.75)</f>
        <v>67.75</v>
      </c>
      <c r="J472" s="7"/>
    </row>
    <row r="473">
      <c r="A473" s="7"/>
      <c r="B473" s="7"/>
      <c r="C473" s="7"/>
      <c r="D473" s="7"/>
      <c r="E473" s="7"/>
      <c r="F473" s="7"/>
      <c r="G473" s="7"/>
      <c r="H473" s="15">
        <f>IFERROR(__xludf.DUMMYFUNCTION("""COMPUTED_VALUE"""),43418.66666666667)</f>
        <v>43418.66667</v>
      </c>
      <c r="I473" s="16">
        <f>IFERROR(__xludf.DUMMYFUNCTION("""COMPUTED_VALUE"""),68.8)</f>
        <v>68.8</v>
      </c>
      <c r="J473" s="7"/>
    </row>
    <row r="474">
      <c r="A474" s="7"/>
      <c r="B474" s="7"/>
      <c r="C474" s="7"/>
      <c r="D474" s="7"/>
      <c r="E474" s="7"/>
      <c r="F474" s="7"/>
      <c r="G474" s="7"/>
      <c r="H474" s="15">
        <f>IFERROR(__xludf.DUMMYFUNCTION("""COMPUTED_VALUE"""),43419.66666666667)</f>
        <v>43419.66667</v>
      </c>
      <c r="I474" s="16">
        <f>IFERROR(__xludf.DUMMYFUNCTION("""COMPUTED_VALUE"""),69.69)</f>
        <v>69.69</v>
      </c>
      <c r="J474" s="7"/>
    </row>
    <row r="475">
      <c r="A475" s="7"/>
      <c r="B475" s="7"/>
      <c r="C475" s="7"/>
      <c r="D475" s="7"/>
      <c r="E475" s="7"/>
      <c r="F475" s="7"/>
      <c r="G475" s="7"/>
      <c r="H475" s="15">
        <f>IFERROR(__xludf.DUMMYFUNCTION("""COMPUTED_VALUE"""),43420.66666666667)</f>
        <v>43420.66667</v>
      </c>
      <c r="I475" s="16">
        <f>IFERROR(__xludf.DUMMYFUNCTION("""COMPUTED_VALUE"""),70.86)</f>
        <v>70.86</v>
      </c>
      <c r="J475" s="7"/>
    </row>
    <row r="476">
      <c r="A476" s="7"/>
      <c r="B476" s="7"/>
      <c r="C476" s="7"/>
      <c r="D476" s="7"/>
      <c r="E476" s="7"/>
      <c r="F476" s="7"/>
      <c r="G476" s="7"/>
      <c r="H476" s="15">
        <f>IFERROR(__xludf.DUMMYFUNCTION("""COMPUTED_VALUE"""),43423.66666666667)</f>
        <v>43423.66667</v>
      </c>
      <c r="I476" s="16">
        <f>IFERROR(__xludf.DUMMYFUNCTION("""COMPUTED_VALUE"""),70.69)</f>
        <v>70.69</v>
      </c>
      <c r="J476" s="7"/>
    </row>
    <row r="477">
      <c r="A477" s="7"/>
      <c r="B477" s="7"/>
      <c r="C477" s="7"/>
      <c r="D477" s="7"/>
      <c r="E477" s="7"/>
      <c r="F477" s="7"/>
      <c r="G477" s="7"/>
      <c r="H477" s="15">
        <f>IFERROR(__xludf.DUMMYFUNCTION("""COMPUTED_VALUE"""),43424.66666666667)</f>
        <v>43424.66667</v>
      </c>
      <c r="I477" s="16">
        <f>IFERROR(__xludf.DUMMYFUNCTION("""COMPUTED_VALUE"""),69.5)</f>
        <v>69.5</v>
      </c>
      <c r="J477" s="7"/>
    </row>
    <row r="478">
      <c r="A478" s="7"/>
      <c r="B478" s="7"/>
      <c r="C478" s="7"/>
      <c r="D478" s="7"/>
      <c r="E478" s="7"/>
      <c r="F478" s="7"/>
      <c r="G478" s="7"/>
      <c r="H478" s="15">
        <f>IFERROR(__xludf.DUMMYFUNCTION("""COMPUTED_VALUE"""),43425.66666666667)</f>
        <v>43425.66667</v>
      </c>
      <c r="I478" s="16">
        <f>IFERROR(__xludf.DUMMYFUNCTION("""COMPUTED_VALUE"""),67.64)</f>
        <v>67.64</v>
      </c>
      <c r="J478" s="7"/>
    </row>
    <row r="479">
      <c r="A479" s="7"/>
      <c r="B479" s="7"/>
      <c r="C479" s="7"/>
      <c r="D479" s="7"/>
      <c r="E479" s="7"/>
      <c r="F479" s="7"/>
      <c r="G479" s="7"/>
      <c r="H479" s="15">
        <f>IFERROR(__xludf.DUMMYFUNCTION("""COMPUTED_VALUE"""),43427.54166666667)</f>
        <v>43427.54167</v>
      </c>
      <c r="I479" s="16">
        <f>IFERROR(__xludf.DUMMYFUNCTION("""COMPUTED_VALUE"""),65.17)</f>
        <v>65.17</v>
      </c>
      <c r="J479" s="7"/>
    </row>
    <row r="480">
      <c r="A480" s="7"/>
      <c r="B480" s="7"/>
      <c r="C480" s="7"/>
      <c r="D480" s="7"/>
      <c r="E480" s="7"/>
      <c r="F480" s="7"/>
      <c r="G480" s="7"/>
      <c r="H480" s="15">
        <f>IFERROR(__xludf.DUMMYFUNCTION("""COMPUTED_VALUE"""),43430.66666666667)</f>
        <v>43430.66667</v>
      </c>
      <c r="I480" s="16">
        <f>IFERROR(__xludf.DUMMYFUNCTION("""COMPUTED_VALUE"""),69.2)</f>
        <v>69.2</v>
      </c>
      <c r="J480" s="7"/>
    </row>
    <row r="481">
      <c r="A481" s="7"/>
      <c r="B481" s="7"/>
      <c r="C481" s="7"/>
      <c r="D481" s="7"/>
      <c r="E481" s="7"/>
      <c r="F481" s="7"/>
      <c r="G481" s="7"/>
      <c r="H481" s="15">
        <f>IFERROR(__xludf.DUMMYFUNCTION("""COMPUTED_VALUE"""),43431.66666666667)</f>
        <v>43431.66667</v>
      </c>
      <c r="I481" s="16">
        <f>IFERROR(__xludf.DUMMYFUNCTION("""COMPUTED_VALUE"""),68.78)</f>
        <v>68.78</v>
      </c>
      <c r="J481" s="7"/>
    </row>
    <row r="482">
      <c r="A482" s="7"/>
      <c r="B482" s="7"/>
      <c r="C482" s="7"/>
      <c r="D482" s="7"/>
      <c r="E482" s="7"/>
      <c r="F482" s="7"/>
      <c r="G482" s="7"/>
      <c r="H482" s="15">
        <f>IFERROR(__xludf.DUMMYFUNCTION("""COMPUTED_VALUE"""),43432.66666666667)</f>
        <v>43432.66667</v>
      </c>
      <c r="I482" s="16">
        <f>IFERROR(__xludf.DUMMYFUNCTION("""COMPUTED_VALUE"""),69.57)</f>
        <v>69.57</v>
      </c>
      <c r="J482" s="7"/>
    </row>
    <row r="483">
      <c r="A483" s="7"/>
      <c r="B483" s="7"/>
      <c r="C483" s="7"/>
      <c r="D483" s="7"/>
      <c r="E483" s="7"/>
      <c r="F483" s="7"/>
      <c r="G483" s="7"/>
      <c r="H483" s="15">
        <f>IFERROR(__xludf.DUMMYFUNCTION("""COMPUTED_VALUE"""),43433.66666666667)</f>
        <v>43433.66667</v>
      </c>
      <c r="I483" s="16">
        <f>IFERROR(__xludf.DUMMYFUNCTION("""COMPUTED_VALUE"""),68.23)</f>
        <v>68.23</v>
      </c>
      <c r="J483" s="7"/>
    </row>
    <row r="484">
      <c r="A484" s="7"/>
      <c r="B484" s="7"/>
      <c r="C484" s="7"/>
      <c r="D484" s="7"/>
      <c r="E484" s="7"/>
      <c r="F484" s="7"/>
      <c r="G484" s="7"/>
      <c r="H484" s="15">
        <f>IFERROR(__xludf.DUMMYFUNCTION("""COMPUTED_VALUE"""),43434.66666666667)</f>
        <v>43434.66667</v>
      </c>
      <c r="I484" s="16">
        <f>IFERROR(__xludf.DUMMYFUNCTION("""COMPUTED_VALUE"""),70.1)</f>
        <v>70.1</v>
      </c>
      <c r="J484" s="7"/>
    </row>
    <row r="485">
      <c r="A485" s="7"/>
      <c r="B485" s="7"/>
      <c r="C485" s="7"/>
      <c r="D485" s="7"/>
      <c r="E485" s="7"/>
      <c r="F485" s="7"/>
      <c r="G485" s="7"/>
      <c r="H485" s="15">
        <f>IFERROR(__xludf.DUMMYFUNCTION("""COMPUTED_VALUE"""),43437.66666666667)</f>
        <v>43437.66667</v>
      </c>
      <c r="I485" s="16">
        <f>IFERROR(__xludf.DUMMYFUNCTION("""COMPUTED_VALUE"""),71.7)</f>
        <v>71.7</v>
      </c>
      <c r="J485" s="7"/>
    </row>
    <row r="486">
      <c r="A486" s="7"/>
      <c r="B486" s="7"/>
      <c r="C486" s="7"/>
      <c r="D486" s="7"/>
      <c r="E486" s="7"/>
      <c r="F486" s="7"/>
      <c r="G486" s="7"/>
      <c r="H486" s="15">
        <f>IFERROR(__xludf.DUMMYFUNCTION("""COMPUTED_VALUE"""),43438.66666666667)</f>
        <v>43438.66667</v>
      </c>
      <c r="I486" s="16">
        <f>IFERROR(__xludf.DUMMYFUNCTION("""COMPUTED_VALUE"""),71.94)</f>
        <v>71.94</v>
      </c>
      <c r="J486" s="7"/>
    </row>
    <row r="487">
      <c r="A487" s="7"/>
      <c r="B487" s="7"/>
      <c r="C487" s="7"/>
      <c r="D487" s="7"/>
      <c r="E487" s="7"/>
      <c r="F487" s="7"/>
      <c r="G487" s="7"/>
      <c r="H487" s="15">
        <f>IFERROR(__xludf.DUMMYFUNCTION("""COMPUTED_VALUE"""),43440.66666666667)</f>
        <v>43440.66667</v>
      </c>
      <c r="I487" s="16">
        <f>IFERROR(__xludf.DUMMYFUNCTION("""COMPUTED_VALUE"""),72.61)</f>
        <v>72.61</v>
      </c>
      <c r="J487" s="7"/>
    </row>
    <row r="488">
      <c r="A488" s="7"/>
      <c r="B488" s="7"/>
      <c r="C488" s="7"/>
      <c r="D488" s="7"/>
      <c r="E488" s="7"/>
      <c r="F488" s="7"/>
      <c r="G488" s="7"/>
      <c r="H488" s="15">
        <f>IFERROR(__xludf.DUMMYFUNCTION("""COMPUTED_VALUE"""),43441.66666666667)</f>
        <v>43441.66667</v>
      </c>
      <c r="I488" s="16">
        <f>IFERROR(__xludf.DUMMYFUNCTION("""COMPUTED_VALUE"""),71.59)</f>
        <v>71.59</v>
      </c>
      <c r="J488" s="7"/>
    </row>
    <row r="489">
      <c r="A489" s="7"/>
      <c r="B489" s="7"/>
      <c r="C489" s="7"/>
      <c r="D489" s="7"/>
      <c r="E489" s="7"/>
      <c r="F489" s="7"/>
      <c r="G489" s="7"/>
      <c r="H489" s="15">
        <f>IFERROR(__xludf.DUMMYFUNCTION("""COMPUTED_VALUE"""),43444.66666666667)</f>
        <v>43444.66667</v>
      </c>
      <c r="I489" s="16">
        <f>IFERROR(__xludf.DUMMYFUNCTION("""COMPUTED_VALUE"""),73.03)</f>
        <v>73.03</v>
      </c>
      <c r="J489" s="7"/>
    </row>
    <row r="490">
      <c r="A490" s="7"/>
      <c r="B490" s="7"/>
      <c r="C490" s="7"/>
      <c r="D490" s="7"/>
      <c r="E490" s="7"/>
      <c r="F490" s="7"/>
      <c r="G490" s="7"/>
      <c r="H490" s="15">
        <f>IFERROR(__xludf.DUMMYFUNCTION("""COMPUTED_VALUE"""),43445.66666666667)</f>
        <v>43445.66667</v>
      </c>
      <c r="I490" s="16">
        <f>IFERROR(__xludf.DUMMYFUNCTION("""COMPUTED_VALUE"""),73.35)</f>
        <v>73.35</v>
      </c>
      <c r="J490" s="7"/>
    </row>
    <row r="491">
      <c r="A491" s="7"/>
      <c r="B491" s="7"/>
      <c r="C491" s="7"/>
      <c r="D491" s="7"/>
      <c r="E491" s="7"/>
      <c r="F491" s="7"/>
      <c r="G491" s="7"/>
      <c r="H491" s="15">
        <f>IFERROR(__xludf.DUMMYFUNCTION("""COMPUTED_VALUE"""),43446.66666666667)</f>
        <v>43446.66667</v>
      </c>
      <c r="I491" s="16">
        <f>IFERROR(__xludf.DUMMYFUNCTION("""COMPUTED_VALUE"""),73.32)</f>
        <v>73.32</v>
      </c>
      <c r="J491" s="7"/>
    </row>
    <row r="492">
      <c r="A492" s="7"/>
      <c r="B492" s="7"/>
      <c r="C492" s="7"/>
      <c r="D492" s="7"/>
      <c r="E492" s="7"/>
      <c r="F492" s="7"/>
      <c r="G492" s="7"/>
      <c r="H492" s="15">
        <f>IFERROR(__xludf.DUMMYFUNCTION("""COMPUTED_VALUE"""),43447.66666666667)</f>
        <v>43447.66667</v>
      </c>
      <c r="I492" s="16">
        <f>IFERROR(__xludf.DUMMYFUNCTION("""COMPUTED_VALUE"""),75.36)</f>
        <v>75.36</v>
      </c>
      <c r="J492" s="7"/>
    </row>
    <row r="493">
      <c r="A493" s="7"/>
      <c r="B493" s="7"/>
      <c r="C493" s="7"/>
      <c r="D493" s="7"/>
      <c r="E493" s="7"/>
      <c r="F493" s="7"/>
      <c r="G493" s="7"/>
      <c r="H493" s="15">
        <f>IFERROR(__xludf.DUMMYFUNCTION("""COMPUTED_VALUE"""),43448.66666666667)</f>
        <v>43448.66667</v>
      </c>
      <c r="I493" s="16">
        <f>IFERROR(__xludf.DUMMYFUNCTION("""COMPUTED_VALUE"""),73.14)</f>
        <v>73.14</v>
      </c>
      <c r="J493" s="7"/>
    </row>
    <row r="494">
      <c r="A494" s="7"/>
      <c r="B494" s="7"/>
      <c r="C494" s="7"/>
      <c r="D494" s="7"/>
      <c r="E494" s="7"/>
      <c r="F494" s="7"/>
      <c r="G494" s="7"/>
      <c r="H494" s="15">
        <f>IFERROR(__xludf.DUMMYFUNCTION("""COMPUTED_VALUE"""),43451.66666666667)</f>
        <v>43451.66667</v>
      </c>
      <c r="I494" s="16">
        <f>IFERROR(__xludf.DUMMYFUNCTION("""COMPUTED_VALUE"""),69.68)</f>
        <v>69.68</v>
      </c>
      <c r="J494" s="7"/>
    </row>
    <row r="495">
      <c r="A495" s="7"/>
      <c r="B495" s="7"/>
      <c r="C495" s="7"/>
      <c r="D495" s="7"/>
      <c r="E495" s="7"/>
      <c r="F495" s="7"/>
      <c r="G495" s="7"/>
      <c r="H495" s="15">
        <f>IFERROR(__xludf.DUMMYFUNCTION("""COMPUTED_VALUE"""),43452.66666666667)</f>
        <v>43452.66667</v>
      </c>
      <c r="I495" s="16">
        <f>IFERROR(__xludf.DUMMYFUNCTION("""COMPUTED_VALUE"""),67.41)</f>
        <v>67.41</v>
      </c>
      <c r="J495" s="7"/>
    </row>
    <row r="496">
      <c r="A496" s="7"/>
      <c r="B496" s="7"/>
      <c r="C496" s="7"/>
      <c r="D496" s="7"/>
      <c r="E496" s="7"/>
      <c r="F496" s="7"/>
      <c r="G496" s="7"/>
      <c r="H496" s="15">
        <f>IFERROR(__xludf.DUMMYFUNCTION("""COMPUTED_VALUE"""),43453.66666666667)</f>
        <v>43453.66667</v>
      </c>
      <c r="I496" s="16">
        <f>IFERROR(__xludf.DUMMYFUNCTION("""COMPUTED_VALUE"""),66.59)</f>
        <v>66.59</v>
      </c>
      <c r="J496" s="7"/>
    </row>
    <row r="497">
      <c r="A497" s="7"/>
      <c r="B497" s="7"/>
      <c r="C497" s="7"/>
      <c r="D497" s="7"/>
      <c r="E497" s="7"/>
      <c r="F497" s="7"/>
      <c r="G497" s="7"/>
      <c r="H497" s="15">
        <f>IFERROR(__xludf.DUMMYFUNCTION("""COMPUTED_VALUE"""),43454.66666666667)</f>
        <v>43454.66667</v>
      </c>
      <c r="I497" s="16">
        <f>IFERROR(__xludf.DUMMYFUNCTION("""COMPUTED_VALUE"""),63.08)</f>
        <v>63.08</v>
      </c>
      <c r="J497" s="7"/>
    </row>
    <row r="498">
      <c r="A498" s="7"/>
      <c r="B498" s="7"/>
      <c r="C498" s="7"/>
      <c r="D498" s="7"/>
      <c r="E498" s="7"/>
      <c r="F498" s="7"/>
      <c r="G498" s="7"/>
      <c r="H498" s="15">
        <f>IFERROR(__xludf.DUMMYFUNCTION("""COMPUTED_VALUE"""),43455.66666666667)</f>
        <v>43455.66667</v>
      </c>
      <c r="I498" s="16">
        <f>IFERROR(__xludf.DUMMYFUNCTION("""COMPUTED_VALUE"""),63.95)</f>
        <v>63.95</v>
      </c>
      <c r="J498" s="7"/>
    </row>
    <row r="499">
      <c r="A499" s="7"/>
      <c r="B499" s="7"/>
      <c r="C499" s="7"/>
      <c r="D499" s="7"/>
      <c r="E499" s="7"/>
      <c r="F499" s="7"/>
      <c r="G499" s="7"/>
      <c r="H499" s="15">
        <f>IFERROR(__xludf.DUMMYFUNCTION("""COMPUTED_VALUE"""),43458.54166666667)</f>
        <v>43458.54167</v>
      </c>
      <c r="I499" s="16">
        <f>IFERROR(__xludf.DUMMYFUNCTION("""COMPUTED_VALUE"""),59.08)</f>
        <v>59.08</v>
      </c>
      <c r="J499" s="7"/>
    </row>
    <row r="500">
      <c r="A500" s="7"/>
      <c r="B500" s="7"/>
      <c r="C500" s="7"/>
      <c r="D500" s="7"/>
      <c r="E500" s="7"/>
      <c r="F500" s="7"/>
      <c r="G500" s="7"/>
      <c r="H500" s="15">
        <f>IFERROR(__xludf.DUMMYFUNCTION("""COMPUTED_VALUE"""),43460.66666666667)</f>
        <v>43460.66667</v>
      </c>
      <c r="I500" s="16">
        <f>IFERROR(__xludf.DUMMYFUNCTION("""COMPUTED_VALUE"""),65.22)</f>
        <v>65.22</v>
      </c>
      <c r="J500" s="7"/>
    </row>
    <row r="501">
      <c r="A501" s="7"/>
      <c r="B501" s="7"/>
      <c r="C501" s="7"/>
      <c r="D501" s="7"/>
      <c r="E501" s="7"/>
      <c r="F501" s="7"/>
      <c r="G501" s="7"/>
      <c r="H501" s="15">
        <f>IFERROR(__xludf.DUMMYFUNCTION("""COMPUTED_VALUE"""),43461.66666666667)</f>
        <v>43461.66667</v>
      </c>
      <c r="I501" s="16">
        <f>IFERROR(__xludf.DUMMYFUNCTION("""COMPUTED_VALUE"""),63.23)</f>
        <v>63.23</v>
      </c>
      <c r="J501" s="7"/>
    </row>
    <row r="502">
      <c r="A502" s="7"/>
      <c r="B502" s="7"/>
      <c r="C502" s="7"/>
      <c r="D502" s="7"/>
      <c r="E502" s="7"/>
      <c r="F502" s="7"/>
      <c r="G502" s="7"/>
      <c r="H502" s="15">
        <f>IFERROR(__xludf.DUMMYFUNCTION("""COMPUTED_VALUE"""),43462.66666666667)</f>
        <v>43462.66667</v>
      </c>
      <c r="I502" s="16">
        <f>IFERROR(__xludf.DUMMYFUNCTION("""COMPUTED_VALUE"""),66.77)</f>
        <v>66.77</v>
      </c>
      <c r="J502" s="7"/>
    </row>
    <row r="503">
      <c r="A503" s="7"/>
      <c r="B503" s="7"/>
      <c r="C503" s="7"/>
      <c r="D503" s="7"/>
      <c r="E503" s="7"/>
      <c r="F503" s="7"/>
      <c r="G503" s="7"/>
      <c r="H503" s="15">
        <f>IFERROR(__xludf.DUMMYFUNCTION("""COMPUTED_VALUE"""),43465.66666666667)</f>
        <v>43465.66667</v>
      </c>
      <c r="I503" s="16">
        <f>IFERROR(__xludf.DUMMYFUNCTION("""COMPUTED_VALUE"""),66.56)</f>
        <v>66.56</v>
      </c>
      <c r="J503" s="7"/>
    </row>
    <row r="504">
      <c r="A504" s="7"/>
      <c r="B504" s="7"/>
      <c r="C504" s="7"/>
      <c r="D504" s="7"/>
      <c r="E504" s="7"/>
      <c r="F504" s="7"/>
      <c r="G504" s="7"/>
      <c r="H504" s="15">
        <f>IFERROR(__xludf.DUMMYFUNCTION("""COMPUTED_VALUE"""),43467.66666666667)</f>
        <v>43467.66667</v>
      </c>
      <c r="I504" s="16">
        <f>IFERROR(__xludf.DUMMYFUNCTION("""COMPUTED_VALUE"""),62.02)</f>
        <v>62.02</v>
      </c>
      <c r="J504" s="7"/>
    </row>
    <row r="505">
      <c r="A505" s="7"/>
      <c r="B505" s="7"/>
      <c r="C505" s="7"/>
      <c r="D505" s="7"/>
      <c r="E505" s="7"/>
      <c r="F505" s="7"/>
      <c r="G505" s="7"/>
      <c r="H505" s="15">
        <f>IFERROR(__xludf.DUMMYFUNCTION("""COMPUTED_VALUE"""),43468.66666666667)</f>
        <v>43468.66667</v>
      </c>
      <c r="I505" s="16">
        <f>IFERROR(__xludf.DUMMYFUNCTION("""COMPUTED_VALUE"""),60.07)</f>
        <v>60.07</v>
      </c>
      <c r="J505" s="7"/>
    </row>
    <row r="506">
      <c r="A506" s="7"/>
      <c r="B506" s="7"/>
      <c r="C506" s="7"/>
      <c r="D506" s="7"/>
      <c r="E506" s="7"/>
      <c r="F506" s="7"/>
      <c r="G506" s="7"/>
      <c r="H506" s="15">
        <f>IFERROR(__xludf.DUMMYFUNCTION("""COMPUTED_VALUE"""),43469.66666666667)</f>
        <v>43469.66667</v>
      </c>
      <c r="I506" s="16">
        <f>IFERROR(__xludf.DUMMYFUNCTION("""COMPUTED_VALUE"""),63.54)</f>
        <v>63.54</v>
      </c>
      <c r="J506" s="7"/>
    </row>
    <row r="507">
      <c r="A507" s="7"/>
      <c r="B507" s="7"/>
      <c r="C507" s="7"/>
      <c r="D507" s="7"/>
      <c r="E507" s="7"/>
      <c r="F507" s="7"/>
      <c r="G507" s="7"/>
      <c r="H507" s="15">
        <f>IFERROR(__xludf.DUMMYFUNCTION("""COMPUTED_VALUE"""),43472.66666666667)</f>
        <v>43472.66667</v>
      </c>
      <c r="I507" s="16">
        <f>IFERROR(__xludf.DUMMYFUNCTION("""COMPUTED_VALUE"""),66.99)</f>
        <v>66.99</v>
      </c>
      <c r="J507" s="7"/>
    </row>
    <row r="508">
      <c r="A508" s="7"/>
      <c r="B508" s="7"/>
      <c r="C508" s="7"/>
      <c r="D508" s="7"/>
      <c r="E508" s="7"/>
      <c r="F508" s="7"/>
      <c r="G508" s="7"/>
      <c r="H508" s="15">
        <f>IFERROR(__xludf.DUMMYFUNCTION("""COMPUTED_VALUE"""),43473.66666666667)</f>
        <v>43473.66667</v>
      </c>
      <c r="I508" s="16">
        <f>IFERROR(__xludf.DUMMYFUNCTION("""COMPUTED_VALUE"""),67.07)</f>
        <v>67.07</v>
      </c>
      <c r="J508" s="7"/>
    </row>
    <row r="509">
      <c r="A509" s="7"/>
      <c r="B509" s="7"/>
      <c r="C509" s="7"/>
      <c r="D509" s="7"/>
      <c r="E509" s="7"/>
      <c r="F509" s="7"/>
      <c r="G509" s="7"/>
      <c r="H509" s="15">
        <f>IFERROR(__xludf.DUMMYFUNCTION("""COMPUTED_VALUE"""),43474.66666666667)</f>
        <v>43474.66667</v>
      </c>
      <c r="I509" s="16">
        <f>IFERROR(__xludf.DUMMYFUNCTION("""COMPUTED_VALUE"""),67.71)</f>
        <v>67.71</v>
      </c>
      <c r="J509" s="7"/>
    </row>
    <row r="510">
      <c r="A510" s="7"/>
      <c r="B510" s="7"/>
      <c r="C510" s="7"/>
      <c r="D510" s="7"/>
      <c r="E510" s="7"/>
      <c r="F510" s="7"/>
      <c r="G510" s="7"/>
      <c r="H510" s="15">
        <f>IFERROR(__xludf.DUMMYFUNCTION("""COMPUTED_VALUE"""),43475.66666666667)</f>
        <v>43475.66667</v>
      </c>
      <c r="I510" s="16">
        <f>IFERROR(__xludf.DUMMYFUNCTION("""COMPUTED_VALUE"""),68.99)</f>
        <v>68.99</v>
      </c>
      <c r="J510" s="7"/>
    </row>
    <row r="511">
      <c r="A511" s="7"/>
      <c r="B511" s="7"/>
      <c r="C511" s="7"/>
      <c r="D511" s="7"/>
      <c r="E511" s="7"/>
      <c r="F511" s="7"/>
      <c r="G511" s="7"/>
      <c r="H511" s="15">
        <f>IFERROR(__xludf.DUMMYFUNCTION("""COMPUTED_VALUE"""),43476.66666666667)</f>
        <v>43476.66667</v>
      </c>
      <c r="I511" s="16">
        <f>IFERROR(__xludf.DUMMYFUNCTION("""COMPUTED_VALUE"""),69.45)</f>
        <v>69.45</v>
      </c>
      <c r="J511" s="7"/>
    </row>
    <row r="512">
      <c r="A512" s="7"/>
      <c r="B512" s="7"/>
      <c r="C512" s="7"/>
      <c r="D512" s="7"/>
      <c r="E512" s="7"/>
      <c r="F512" s="7"/>
      <c r="G512" s="7"/>
      <c r="H512" s="15">
        <f>IFERROR(__xludf.DUMMYFUNCTION("""COMPUTED_VALUE"""),43479.66666666667)</f>
        <v>43479.66667</v>
      </c>
      <c r="I512" s="16">
        <f>IFERROR(__xludf.DUMMYFUNCTION("""COMPUTED_VALUE"""),66.88)</f>
        <v>66.88</v>
      </c>
      <c r="J512" s="7"/>
    </row>
    <row r="513">
      <c r="A513" s="7"/>
      <c r="B513" s="7"/>
      <c r="C513" s="7"/>
      <c r="D513" s="7"/>
      <c r="E513" s="7"/>
      <c r="F513" s="7"/>
      <c r="G513" s="7"/>
      <c r="H513" s="15">
        <f>IFERROR(__xludf.DUMMYFUNCTION("""COMPUTED_VALUE"""),43480.66666666667)</f>
        <v>43480.66667</v>
      </c>
      <c r="I513" s="16">
        <f>IFERROR(__xludf.DUMMYFUNCTION("""COMPUTED_VALUE"""),68.89)</f>
        <v>68.89</v>
      </c>
      <c r="J513" s="7"/>
    </row>
    <row r="514">
      <c r="A514" s="7"/>
      <c r="B514" s="7"/>
      <c r="C514" s="7"/>
      <c r="D514" s="7"/>
      <c r="E514" s="7"/>
      <c r="F514" s="7"/>
      <c r="G514" s="7"/>
      <c r="H514" s="15">
        <f>IFERROR(__xludf.DUMMYFUNCTION("""COMPUTED_VALUE"""),43481.66666666667)</f>
        <v>43481.66667</v>
      </c>
      <c r="I514" s="16">
        <f>IFERROR(__xludf.DUMMYFUNCTION("""COMPUTED_VALUE"""),69.21)</f>
        <v>69.21</v>
      </c>
      <c r="J514" s="7"/>
    </row>
    <row r="515">
      <c r="A515" s="7"/>
      <c r="B515" s="7"/>
      <c r="C515" s="7"/>
      <c r="D515" s="7"/>
      <c r="E515" s="7"/>
      <c r="F515" s="7"/>
      <c r="G515" s="7"/>
      <c r="H515" s="15">
        <f>IFERROR(__xludf.DUMMYFUNCTION("""COMPUTED_VALUE"""),43482.66666666667)</f>
        <v>43482.66667</v>
      </c>
      <c r="I515" s="16">
        <f>IFERROR(__xludf.DUMMYFUNCTION("""COMPUTED_VALUE"""),69.46)</f>
        <v>69.46</v>
      </c>
      <c r="J515" s="7"/>
    </row>
    <row r="516">
      <c r="A516" s="7"/>
      <c r="B516" s="7"/>
      <c r="C516" s="7"/>
      <c r="D516" s="7"/>
      <c r="E516" s="7"/>
      <c r="F516" s="7"/>
      <c r="G516" s="7"/>
      <c r="H516" s="15">
        <f>IFERROR(__xludf.DUMMYFUNCTION("""COMPUTED_VALUE"""),43483.66666666667)</f>
        <v>43483.66667</v>
      </c>
      <c r="I516" s="16">
        <f>IFERROR(__xludf.DUMMYFUNCTION("""COMPUTED_VALUE"""),60.45)</f>
        <v>60.45</v>
      </c>
      <c r="J516" s="7"/>
    </row>
    <row r="517">
      <c r="A517" s="7"/>
      <c r="B517" s="7"/>
      <c r="C517" s="7"/>
      <c r="D517" s="7"/>
      <c r="E517" s="7"/>
      <c r="F517" s="7"/>
      <c r="G517" s="7"/>
      <c r="H517" s="15">
        <f>IFERROR(__xludf.DUMMYFUNCTION("""COMPUTED_VALUE"""),43487.66666666667)</f>
        <v>43487.66667</v>
      </c>
      <c r="I517" s="16">
        <f>IFERROR(__xludf.DUMMYFUNCTION("""COMPUTED_VALUE"""),59.78)</f>
        <v>59.78</v>
      </c>
      <c r="J517" s="7"/>
    </row>
    <row r="518">
      <c r="A518" s="7"/>
      <c r="B518" s="7"/>
      <c r="C518" s="7"/>
      <c r="D518" s="7"/>
      <c r="E518" s="7"/>
      <c r="F518" s="7"/>
      <c r="G518" s="7"/>
      <c r="H518" s="15">
        <f>IFERROR(__xludf.DUMMYFUNCTION("""COMPUTED_VALUE"""),43488.66666666667)</f>
        <v>43488.66667</v>
      </c>
      <c r="I518" s="16">
        <f>IFERROR(__xludf.DUMMYFUNCTION("""COMPUTED_VALUE"""),57.52)</f>
        <v>57.52</v>
      </c>
      <c r="J518" s="7"/>
    </row>
    <row r="519">
      <c r="A519" s="7"/>
      <c r="B519" s="7"/>
      <c r="C519" s="7"/>
      <c r="D519" s="7"/>
      <c r="E519" s="7"/>
      <c r="F519" s="7"/>
      <c r="G519" s="7"/>
      <c r="H519" s="15">
        <f>IFERROR(__xludf.DUMMYFUNCTION("""COMPUTED_VALUE"""),43489.66666666667)</f>
        <v>43489.66667</v>
      </c>
      <c r="I519" s="16">
        <f>IFERROR(__xludf.DUMMYFUNCTION("""COMPUTED_VALUE"""),58.3)</f>
        <v>58.3</v>
      </c>
      <c r="J519" s="7"/>
    </row>
    <row r="520">
      <c r="A520" s="7"/>
      <c r="B520" s="7"/>
      <c r="C520" s="7"/>
      <c r="D520" s="7"/>
      <c r="E520" s="7"/>
      <c r="F520" s="7"/>
      <c r="G520" s="7"/>
      <c r="H520" s="15">
        <f>IFERROR(__xludf.DUMMYFUNCTION("""COMPUTED_VALUE"""),43490.66666666667)</f>
        <v>43490.66667</v>
      </c>
      <c r="I520" s="16">
        <f>IFERROR(__xludf.DUMMYFUNCTION("""COMPUTED_VALUE"""),59.41)</f>
        <v>59.41</v>
      </c>
      <c r="J520" s="7"/>
    </row>
    <row r="521">
      <c r="A521" s="7"/>
      <c r="B521" s="7"/>
      <c r="C521" s="7"/>
      <c r="D521" s="7"/>
      <c r="E521" s="7"/>
      <c r="F521" s="7"/>
      <c r="G521" s="7"/>
      <c r="H521" s="15">
        <f>IFERROR(__xludf.DUMMYFUNCTION("""COMPUTED_VALUE"""),43493.66666666667)</f>
        <v>43493.66667</v>
      </c>
      <c r="I521" s="16">
        <f>IFERROR(__xludf.DUMMYFUNCTION("""COMPUTED_VALUE"""),59.28)</f>
        <v>59.28</v>
      </c>
      <c r="J521" s="7"/>
    </row>
    <row r="522">
      <c r="A522" s="7"/>
      <c r="B522" s="7"/>
      <c r="C522" s="7"/>
      <c r="D522" s="7"/>
      <c r="E522" s="7"/>
      <c r="F522" s="7"/>
      <c r="G522" s="7"/>
      <c r="H522" s="15">
        <f>IFERROR(__xludf.DUMMYFUNCTION("""COMPUTED_VALUE"""),43494.66666666667)</f>
        <v>43494.66667</v>
      </c>
      <c r="I522" s="16">
        <f>IFERROR(__xludf.DUMMYFUNCTION("""COMPUTED_VALUE"""),59.49)</f>
        <v>59.49</v>
      </c>
      <c r="J522" s="7"/>
    </row>
    <row r="523">
      <c r="A523" s="7"/>
      <c r="B523" s="7"/>
      <c r="C523" s="7"/>
      <c r="D523" s="7"/>
      <c r="E523" s="7"/>
      <c r="F523" s="7"/>
      <c r="G523" s="7"/>
      <c r="H523" s="15">
        <f>IFERROR(__xludf.DUMMYFUNCTION("""COMPUTED_VALUE"""),43495.66666666667)</f>
        <v>43495.66667</v>
      </c>
      <c r="I523" s="16">
        <f>IFERROR(__xludf.DUMMYFUNCTION("""COMPUTED_VALUE"""),61.75)</f>
        <v>61.75</v>
      </c>
      <c r="J523" s="7"/>
    </row>
    <row r="524">
      <c r="A524" s="7"/>
      <c r="B524" s="7"/>
      <c r="C524" s="7"/>
      <c r="D524" s="7"/>
      <c r="E524" s="7"/>
      <c r="F524" s="7"/>
      <c r="G524" s="7"/>
      <c r="H524" s="15">
        <f>IFERROR(__xludf.DUMMYFUNCTION("""COMPUTED_VALUE"""),43496.66666666667)</f>
        <v>43496.66667</v>
      </c>
      <c r="I524" s="16">
        <f>IFERROR(__xludf.DUMMYFUNCTION("""COMPUTED_VALUE"""),61.4)</f>
        <v>61.4</v>
      </c>
      <c r="J524" s="7"/>
    </row>
    <row r="525">
      <c r="A525" s="7"/>
      <c r="B525" s="7"/>
      <c r="C525" s="7"/>
      <c r="D525" s="7"/>
      <c r="E525" s="7"/>
      <c r="F525" s="7"/>
      <c r="G525" s="7"/>
      <c r="H525" s="15">
        <f>IFERROR(__xludf.DUMMYFUNCTION("""COMPUTED_VALUE"""),43497.66666666667)</f>
        <v>43497.66667</v>
      </c>
      <c r="I525" s="16">
        <f>IFERROR(__xludf.DUMMYFUNCTION("""COMPUTED_VALUE"""),62.44)</f>
        <v>62.44</v>
      </c>
      <c r="J525" s="7"/>
    </row>
    <row r="526">
      <c r="A526" s="7"/>
      <c r="B526" s="7"/>
      <c r="C526" s="7"/>
      <c r="D526" s="7"/>
      <c r="E526" s="7"/>
      <c r="F526" s="7"/>
      <c r="G526" s="7"/>
      <c r="H526" s="15">
        <f>IFERROR(__xludf.DUMMYFUNCTION("""COMPUTED_VALUE"""),43500.66666666667)</f>
        <v>43500.66667</v>
      </c>
      <c r="I526" s="16">
        <f>IFERROR(__xludf.DUMMYFUNCTION("""COMPUTED_VALUE"""),62.58)</f>
        <v>62.58</v>
      </c>
      <c r="J526" s="7"/>
    </row>
    <row r="527">
      <c r="A527" s="7"/>
      <c r="B527" s="7"/>
      <c r="C527" s="7"/>
      <c r="D527" s="7"/>
      <c r="E527" s="7"/>
      <c r="F527" s="7"/>
      <c r="G527" s="7"/>
      <c r="H527" s="15">
        <f>IFERROR(__xludf.DUMMYFUNCTION("""COMPUTED_VALUE"""),43501.66666666667)</f>
        <v>43501.66667</v>
      </c>
      <c r="I527" s="16">
        <f>IFERROR(__xludf.DUMMYFUNCTION("""COMPUTED_VALUE"""),64.27)</f>
        <v>64.27</v>
      </c>
      <c r="J527" s="7"/>
    </row>
    <row r="528">
      <c r="A528" s="7"/>
      <c r="B528" s="7"/>
      <c r="C528" s="7"/>
      <c r="D528" s="7"/>
      <c r="E528" s="7"/>
      <c r="F528" s="7"/>
      <c r="G528" s="7"/>
      <c r="H528" s="15">
        <f>IFERROR(__xludf.DUMMYFUNCTION("""COMPUTED_VALUE"""),43502.66666666667)</f>
        <v>43502.66667</v>
      </c>
      <c r="I528" s="16">
        <f>IFERROR(__xludf.DUMMYFUNCTION("""COMPUTED_VALUE"""),63.44)</f>
        <v>63.44</v>
      </c>
      <c r="J528" s="7"/>
    </row>
    <row r="529">
      <c r="A529" s="7"/>
      <c r="B529" s="7"/>
      <c r="C529" s="7"/>
      <c r="D529" s="7"/>
      <c r="E529" s="7"/>
      <c r="F529" s="7"/>
      <c r="G529" s="7"/>
      <c r="H529" s="15">
        <f>IFERROR(__xludf.DUMMYFUNCTION("""COMPUTED_VALUE"""),43503.66666666667)</f>
        <v>43503.66667</v>
      </c>
      <c r="I529" s="16">
        <f>IFERROR(__xludf.DUMMYFUNCTION("""COMPUTED_VALUE"""),61.5)</f>
        <v>61.5</v>
      </c>
      <c r="J529" s="7"/>
    </row>
    <row r="530">
      <c r="A530" s="7"/>
      <c r="B530" s="7"/>
      <c r="C530" s="7"/>
      <c r="D530" s="7"/>
      <c r="E530" s="7"/>
      <c r="F530" s="7"/>
      <c r="G530" s="7"/>
      <c r="H530" s="15">
        <f>IFERROR(__xludf.DUMMYFUNCTION("""COMPUTED_VALUE"""),43504.66666666667)</f>
        <v>43504.66667</v>
      </c>
      <c r="I530" s="16">
        <f>IFERROR(__xludf.DUMMYFUNCTION("""COMPUTED_VALUE"""),61.16)</f>
        <v>61.16</v>
      </c>
      <c r="J530" s="7"/>
    </row>
    <row r="531">
      <c r="A531" s="7"/>
      <c r="B531" s="7"/>
      <c r="C531" s="7"/>
      <c r="D531" s="7"/>
      <c r="E531" s="7"/>
      <c r="F531" s="7"/>
      <c r="G531" s="7"/>
      <c r="H531" s="15">
        <f>IFERROR(__xludf.DUMMYFUNCTION("""COMPUTED_VALUE"""),43507.66666666667)</f>
        <v>43507.66667</v>
      </c>
      <c r="I531" s="16">
        <f>IFERROR(__xludf.DUMMYFUNCTION("""COMPUTED_VALUE"""),62.57)</f>
        <v>62.57</v>
      </c>
      <c r="J531" s="7"/>
    </row>
    <row r="532">
      <c r="A532" s="7"/>
      <c r="B532" s="7"/>
      <c r="C532" s="7"/>
      <c r="D532" s="7"/>
      <c r="E532" s="7"/>
      <c r="F532" s="7"/>
      <c r="G532" s="7"/>
      <c r="H532" s="15">
        <f>IFERROR(__xludf.DUMMYFUNCTION("""COMPUTED_VALUE"""),43508.66666666667)</f>
        <v>43508.66667</v>
      </c>
      <c r="I532" s="16">
        <f>IFERROR(__xludf.DUMMYFUNCTION("""COMPUTED_VALUE"""),62.36)</f>
        <v>62.36</v>
      </c>
      <c r="J532" s="7"/>
    </row>
    <row r="533">
      <c r="A533" s="7"/>
      <c r="B533" s="7"/>
      <c r="C533" s="7"/>
      <c r="D533" s="7"/>
      <c r="E533" s="7"/>
      <c r="F533" s="7"/>
      <c r="G533" s="7"/>
      <c r="H533" s="15">
        <f>IFERROR(__xludf.DUMMYFUNCTION("""COMPUTED_VALUE"""),43509.66666666667)</f>
        <v>43509.66667</v>
      </c>
      <c r="I533" s="16">
        <f>IFERROR(__xludf.DUMMYFUNCTION("""COMPUTED_VALUE"""),61.63)</f>
        <v>61.63</v>
      </c>
      <c r="J533" s="7"/>
    </row>
    <row r="534">
      <c r="A534" s="7"/>
      <c r="B534" s="7"/>
      <c r="C534" s="7"/>
      <c r="D534" s="7"/>
      <c r="E534" s="7"/>
      <c r="F534" s="7"/>
      <c r="G534" s="7"/>
      <c r="H534" s="15">
        <f>IFERROR(__xludf.DUMMYFUNCTION("""COMPUTED_VALUE"""),43510.66666666667)</f>
        <v>43510.66667</v>
      </c>
      <c r="I534" s="16">
        <f>IFERROR(__xludf.DUMMYFUNCTION("""COMPUTED_VALUE"""),60.75)</f>
        <v>60.75</v>
      </c>
      <c r="J534" s="7"/>
    </row>
    <row r="535">
      <c r="A535" s="7"/>
      <c r="B535" s="7"/>
      <c r="C535" s="7"/>
      <c r="D535" s="7"/>
      <c r="E535" s="7"/>
      <c r="F535" s="7"/>
      <c r="G535" s="7"/>
      <c r="H535" s="15">
        <f>IFERROR(__xludf.DUMMYFUNCTION("""COMPUTED_VALUE"""),43511.66666666667)</f>
        <v>43511.66667</v>
      </c>
      <c r="I535" s="16">
        <f>IFERROR(__xludf.DUMMYFUNCTION("""COMPUTED_VALUE"""),61.58)</f>
        <v>61.58</v>
      </c>
      <c r="J535" s="7"/>
    </row>
    <row r="536">
      <c r="A536" s="7"/>
      <c r="B536" s="7"/>
      <c r="C536" s="7"/>
      <c r="D536" s="7"/>
      <c r="E536" s="7"/>
      <c r="F536" s="7"/>
      <c r="G536" s="7"/>
      <c r="H536" s="15">
        <f>IFERROR(__xludf.DUMMYFUNCTION("""COMPUTED_VALUE"""),43515.66666666667)</f>
        <v>43515.66667</v>
      </c>
      <c r="I536" s="16">
        <f>IFERROR(__xludf.DUMMYFUNCTION("""COMPUTED_VALUE"""),61.13)</f>
        <v>61.13</v>
      </c>
      <c r="J536" s="7"/>
    </row>
    <row r="537">
      <c r="A537" s="7"/>
      <c r="B537" s="7"/>
      <c r="C537" s="7"/>
      <c r="D537" s="7"/>
      <c r="E537" s="7"/>
      <c r="F537" s="7"/>
      <c r="G537" s="7"/>
      <c r="H537" s="15">
        <f>IFERROR(__xludf.DUMMYFUNCTION("""COMPUTED_VALUE"""),43516.66666666667)</f>
        <v>43516.66667</v>
      </c>
      <c r="I537" s="16">
        <f>IFERROR(__xludf.DUMMYFUNCTION("""COMPUTED_VALUE"""),60.51)</f>
        <v>60.51</v>
      </c>
      <c r="J537" s="7"/>
    </row>
    <row r="538">
      <c r="A538" s="7"/>
      <c r="B538" s="7"/>
      <c r="C538" s="7"/>
      <c r="D538" s="7"/>
      <c r="E538" s="7"/>
      <c r="F538" s="7"/>
      <c r="G538" s="7"/>
      <c r="H538" s="15">
        <f>IFERROR(__xludf.DUMMYFUNCTION("""COMPUTED_VALUE"""),43517.66666666667)</f>
        <v>43517.66667</v>
      </c>
      <c r="I538" s="16">
        <f>IFERROR(__xludf.DUMMYFUNCTION("""COMPUTED_VALUE"""),58.25)</f>
        <v>58.25</v>
      </c>
      <c r="J538" s="7"/>
    </row>
    <row r="539">
      <c r="A539" s="7"/>
      <c r="B539" s="7"/>
      <c r="C539" s="7"/>
      <c r="D539" s="7"/>
      <c r="E539" s="7"/>
      <c r="F539" s="7"/>
      <c r="G539" s="7"/>
      <c r="H539" s="15">
        <f>IFERROR(__xludf.DUMMYFUNCTION("""COMPUTED_VALUE"""),43518.66666666667)</f>
        <v>43518.66667</v>
      </c>
      <c r="I539" s="16">
        <f>IFERROR(__xludf.DUMMYFUNCTION("""COMPUTED_VALUE"""),58.94)</f>
        <v>58.94</v>
      </c>
      <c r="J539" s="7"/>
    </row>
    <row r="540">
      <c r="A540" s="7"/>
      <c r="B540" s="7"/>
      <c r="C540" s="7"/>
      <c r="D540" s="7"/>
      <c r="E540" s="7"/>
      <c r="F540" s="7"/>
      <c r="G540" s="7"/>
      <c r="H540" s="15">
        <f>IFERROR(__xludf.DUMMYFUNCTION("""COMPUTED_VALUE"""),43521.66666666667)</f>
        <v>43521.66667</v>
      </c>
      <c r="I540" s="16">
        <f>IFERROR(__xludf.DUMMYFUNCTION("""COMPUTED_VALUE"""),59.75)</f>
        <v>59.75</v>
      </c>
      <c r="J540" s="7"/>
    </row>
    <row r="541">
      <c r="A541" s="7"/>
      <c r="B541" s="7"/>
      <c r="C541" s="7"/>
      <c r="D541" s="7"/>
      <c r="E541" s="7"/>
      <c r="F541" s="7"/>
      <c r="G541" s="7"/>
      <c r="H541" s="15">
        <f>IFERROR(__xludf.DUMMYFUNCTION("""COMPUTED_VALUE"""),43522.66666666667)</f>
        <v>43522.66667</v>
      </c>
      <c r="I541" s="16">
        <f>IFERROR(__xludf.DUMMYFUNCTION("""COMPUTED_VALUE"""),59.57)</f>
        <v>59.57</v>
      </c>
      <c r="J541" s="7"/>
    </row>
    <row r="542">
      <c r="A542" s="7"/>
      <c r="B542" s="7"/>
      <c r="C542" s="7"/>
      <c r="D542" s="7"/>
      <c r="E542" s="7"/>
      <c r="F542" s="7"/>
      <c r="G542" s="7"/>
      <c r="H542" s="15">
        <f>IFERROR(__xludf.DUMMYFUNCTION("""COMPUTED_VALUE"""),43523.66666666667)</f>
        <v>43523.66667</v>
      </c>
      <c r="I542" s="16">
        <f>IFERROR(__xludf.DUMMYFUNCTION("""COMPUTED_VALUE"""),62.95)</f>
        <v>62.95</v>
      </c>
      <c r="J542" s="7"/>
    </row>
    <row r="543">
      <c r="A543" s="7"/>
      <c r="B543" s="7"/>
      <c r="C543" s="7"/>
      <c r="D543" s="7"/>
      <c r="E543" s="7"/>
      <c r="F543" s="7"/>
      <c r="G543" s="7"/>
      <c r="H543" s="15">
        <f>IFERROR(__xludf.DUMMYFUNCTION("""COMPUTED_VALUE"""),43524.66666666667)</f>
        <v>43524.66667</v>
      </c>
      <c r="I543" s="16">
        <f>IFERROR(__xludf.DUMMYFUNCTION("""COMPUTED_VALUE"""),63.98)</f>
        <v>63.98</v>
      </c>
      <c r="J543" s="7"/>
    </row>
    <row r="544">
      <c r="A544" s="7"/>
      <c r="B544" s="7"/>
      <c r="C544" s="7"/>
      <c r="D544" s="7"/>
      <c r="E544" s="7"/>
      <c r="F544" s="7"/>
      <c r="G544" s="7"/>
      <c r="H544" s="15">
        <f>IFERROR(__xludf.DUMMYFUNCTION("""COMPUTED_VALUE"""),43525.66666666667)</f>
        <v>43525.66667</v>
      </c>
      <c r="I544" s="16">
        <f>IFERROR(__xludf.DUMMYFUNCTION("""COMPUTED_VALUE"""),58.96)</f>
        <v>58.96</v>
      </c>
      <c r="J544" s="7"/>
    </row>
    <row r="545">
      <c r="A545" s="7"/>
      <c r="B545" s="7"/>
      <c r="C545" s="7"/>
      <c r="D545" s="7"/>
      <c r="E545" s="7"/>
      <c r="F545" s="7"/>
      <c r="G545" s="7"/>
      <c r="H545" s="15">
        <f>IFERROR(__xludf.DUMMYFUNCTION("""COMPUTED_VALUE"""),43528.66666666667)</f>
        <v>43528.66667</v>
      </c>
      <c r="I545" s="16">
        <f>IFERROR(__xludf.DUMMYFUNCTION("""COMPUTED_VALUE"""),57.07)</f>
        <v>57.07</v>
      </c>
      <c r="J545" s="7"/>
    </row>
    <row r="546">
      <c r="A546" s="7"/>
      <c r="B546" s="7"/>
      <c r="C546" s="7"/>
      <c r="D546" s="7"/>
      <c r="E546" s="7"/>
      <c r="F546" s="7"/>
      <c r="G546" s="7"/>
      <c r="H546" s="15">
        <f>IFERROR(__xludf.DUMMYFUNCTION("""COMPUTED_VALUE"""),43529.66666666667)</f>
        <v>43529.66667</v>
      </c>
      <c r="I546" s="16">
        <f>IFERROR(__xludf.DUMMYFUNCTION("""COMPUTED_VALUE"""),55.31)</f>
        <v>55.31</v>
      </c>
      <c r="J546" s="7"/>
    </row>
    <row r="547">
      <c r="A547" s="7"/>
      <c r="B547" s="7"/>
      <c r="C547" s="7"/>
      <c r="D547" s="7"/>
      <c r="E547" s="7"/>
      <c r="F547" s="7"/>
      <c r="G547" s="7"/>
      <c r="H547" s="15">
        <f>IFERROR(__xludf.DUMMYFUNCTION("""COMPUTED_VALUE"""),43530.66666666667)</f>
        <v>43530.66667</v>
      </c>
      <c r="I547" s="16">
        <f>IFERROR(__xludf.DUMMYFUNCTION("""COMPUTED_VALUE"""),55.25)</f>
        <v>55.25</v>
      </c>
      <c r="J547" s="7"/>
    </row>
    <row r="548">
      <c r="A548" s="7"/>
      <c r="B548" s="7"/>
      <c r="C548" s="7"/>
      <c r="D548" s="7"/>
      <c r="E548" s="7"/>
      <c r="F548" s="7"/>
      <c r="G548" s="7"/>
      <c r="H548" s="15">
        <f>IFERROR(__xludf.DUMMYFUNCTION("""COMPUTED_VALUE"""),43531.66666666667)</f>
        <v>43531.66667</v>
      </c>
      <c r="I548" s="16">
        <f>IFERROR(__xludf.DUMMYFUNCTION("""COMPUTED_VALUE"""),55.32)</f>
        <v>55.32</v>
      </c>
      <c r="J548" s="7"/>
    </row>
    <row r="549">
      <c r="A549" s="7"/>
      <c r="B549" s="7"/>
      <c r="C549" s="7"/>
      <c r="D549" s="7"/>
      <c r="E549" s="7"/>
      <c r="F549" s="7"/>
      <c r="G549" s="7"/>
      <c r="H549" s="15">
        <f>IFERROR(__xludf.DUMMYFUNCTION("""COMPUTED_VALUE"""),43532.66666666667)</f>
        <v>43532.66667</v>
      </c>
      <c r="I549" s="16">
        <f>IFERROR(__xludf.DUMMYFUNCTION("""COMPUTED_VALUE"""),56.83)</f>
        <v>56.83</v>
      </c>
      <c r="J549" s="7"/>
    </row>
    <row r="550">
      <c r="A550" s="7"/>
      <c r="B550" s="7"/>
      <c r="C550" s="7"/>
      <c r="D550" s="7"/>
      <c r="E550" s="7"/>
      <c r="F550" s="7"/>
      <c r="G550" s="7"/>
      <c r="H550" s="15">
        <f>IFERROR(__xludf.DUMMYFUNCTION("""COMPUTED_VALUE"""),43535.66666666667)</f>
        <v>43535.66667</v>
      </c>
      <c r="I550" s="16">
        <f>IFERROR(__xludf.DUMMYFUNCTION("""COMPUTED_VALUE"""),58.18)</f>
        <v>58.18</v>
      </c>
      <c r="J550" s="7"/>
    </row>
    <row r="551">
      <c r="A551" s="7"/>
      <c r="B551" s="7"/>
      <c r="C551" s="7"/>
      <c r="D551" s="7"/>
      <c r="E551" s="7"/>
      <c r="F551" s="7"/>
      <c r="G551" s="7"/>
      <c r="H551" s="15">
        <f>IFERROR(__xludf.DUMMYFUNCTION("""COMPUTED_VALUE"""),43536.66666666667)</f>
        <v>43536.66667</v>
      </c>
      <c r="I551" s="16">
        <f>IFERROR(__xludf.DUMMYFUNCTION("""COMPUTED_VALUE"""),56.67)</f>
        <v>56.67</v>
      </c>
      <c r="J551" s="7"/>
    </row>
    <row r="552">
      <c r="A552" s="7"/>
      <c r="B552" s="7"/>
      <c r="C552" s="7"/>
      <c r="D552" s="7"/>
      <c r="E552" s="7"/>
      <c r="F552" s="7"/>
      <c r="G552" s="7"/>
      <c r="H552" s="15">
        <f>IFERROR(__xludf.DUMMYFUNCTION("""COMPUTED_VALUE"""),43537.66666666667)</f>
        <v>43537.66667</v>
      </c>
      <c r="I552" s="16">
        <f>IFERROR(__xludf.DUMMYFUNCTION("""COMPUTED_VALUE"""),57.79)</f>
        <v>57.79</v>
      </c>
      <c r="J552" s="7"/>
    </row>
    <row r="553">
      <c r="A553" s="7"/>
      <c r="B553" s="7"/>
      <c r="C553" s="7"/>
      <c r="D553" s="7"/>
      <c r="E553" s="7"/>
      <c r="F553" s="7"/>
      <c r="G553" s="7"/>
      <c r="H553" s="15">
        <f>IFERROR(__xludf.DUMMYFUNCTION("""COMPUTED_VALUE"""),43538.66666666667)</f>
        <v>43538.66667</v>
      </c>
      <c r="I553" s="16">
        <f>IFERROR(__xludf.DUMMYFUNCTION("""COMPUTED_VALUE"""),57.99)</f>
        <v>57.99</v>
      </c>
      <c r="J553" s="7"/>
    </row>
    <row r="554">
      <c r="A554" s="7"/>
      <c r="B554" s="7"/>
      <c r="C554" s="7"/>
      <c r="D554" s="7"/>
      <c r="E554" s="7"/>
      <c r="F554" s="7"/>
      <c r="G554" s="7"/>
      <c r="H554" s="15">
        <f>IFERROR(__xludf.DUMMYFUNCTION("""COMPUTED_VALUE"""),43539.66666666667)</f>
        <v>43539.66667</v>
      </c>
      <c r="I554" s="16">
        <f>IFERROR(__xludf.DUMMYFUNCTION("""COMPUTED_VALUE"""),55.09)</f>
        <v>55.09</v>
      </c>
      <c r="J554" s="7"/>
    </row>
    <row r="555">
      <c r="A555" s="7"/>
      <c r="B555" s="7"/>
      <c r="C555" s="7"/>
      <c r="D555" s="7"/>
      <c r="E555" s="7"/>
      <c r="F555" s="7"/>
      <c r="G555" s="7"/>
      <c r="H555" s="15">
        <f>IFERROR(__xludf.DUMMYFUNCTION("""COMPUTED_VALUE"""),43542.66666666667)</f>
        <v>43542.66667</v>
      </c>
      <c r="I555" s="16">
        <f>IFERROR(__xludf.DUMMYFUNCTION("""COMPUTED_VALUE"""),53.9)</f>
        <v>53.9</v>
      </c>
      <c r="J555" s="7"/>
    </row>
    <row r="556">
      <c r="A556" s="7"/>
      <c r="B556" s="7"/>
      <c r="C556" s="7"/>
      <c r="D556" s="7"/>
      <c r="E556" s="7"/>
      <c r="F556" s="7"/>
      <c r="G556" s="7"/>
      <c r="H556" s="15">
        <f>IFERROR(__xludf.DUMMYFUNCTION("""COMPUTED_VALUE"""),43543.66666666667)</f>
        <v>43543.66667</v>
      </c>
      <c r="I556" s="16">
        <f>IFERROR(__xludf.DUMMYFUNCTION("""COMPUTED_VALUE"""),53.49)</f>
        <v>53.49</v>
      </c>
      <c r="J556" s="7"/>
    </row>
    <row r="557">
      <c r="A557" s="7"/>
      <c r="B557" s="7"/>
      <c r="C557" s="7"/>
      <c r="D557" s="7"/>
      <c r="E557" s="7"/>
      <c r="F557" s="7"/>
      <c r="G557" s="7"/>
      <c r="H557" s="15">
        <f>IFERROR(__xludf.DUMMYFUNCTION("""COMPUTED_VALUE"""),43544.66666666667)</f>
        <v>43544.66667</v>
      </c>
      <c r="I557" s="16">
        <f>IFERROR(__xludf.DUMMYFUNCTION("""COMPUTED_VALUE"""),54.72)</f>
        <v>54.72</v>
      </c>
      <c r="J557" s="7"/>
    </row>
    <row r="558">
      <c r="A558" s="7"/>
      <c r="B558" s="7"/>
      <c r="C558" s="7"/>
      <c r="D558" s="7"/>
      <c r="E558" s="7"/>
      <c r="F558" s="7"/>
      <c r="G558" s="7"/>
      <c r="H558" s="15">
        <f>IFERROR(__xludf.DUMMYFUNCTION("""COMPUTED_VALUE"""),43545.66666666667)</f>
        <v>43545.66667</v>
      </c>
      <c r="I558" s="16">
        <f>IFERROR(__xludf.DUMMYFUNCTION("""COMPUTED_VALUE"""),54.8)</f>
        <v>54.8</v>
      </c>
      <c r="J558" s="7"/>
    </row>
    <row r="559">
      <c r="A559" s="7"/>
      <c r="B559" s="7"/>
      <c r="C559" s="7"/>
      <c r="D559" s="7"/>
      <c r="E559" s="7"/>
      <c r="F559" s="7"/>
      <c r="G559" s="7"/>
      <c r="H559" s="15">
        <f>IFERROR(__xludf.DUMMYFUNCTION("""COMPUTED_VALUE"""),43546.66666666667)</f>
        <v>43546.66667</v>
      </c>
      <c r="I559" s="16">
        <f>IFERROR(__xludf.DUMMYFUNCTION("""COMPUTED_VALUE"""),52.91)</f>
        <v>52.91</v>
      </c>
      <c r="J559" s="7"/>
    </row>
    <row r="560">
      <c r="A560" s="7"/>
      <c r="B560" s="7"/>
      <c r="C560" s="7"/>
      <c r="D560" s="7"/>
      <c r="E560" s="7"/>
      <c r="F560" s="7"/>
      <c r="G560" s="7"/>
      <c r="H560" s="15">
        <f>IFERROR(__xludf.DUMMYFUNCTION("""COMPUTED_VALUE"""),43549.66666666667)</f>
        <v>43549.66667</v>
      </c>
      <c r="I560" s="16">
        <f>IFERROR(__xludf.DUMMYFUNCTION("""COMPUTED_VALUE"""),52.08)</f>
        <v>52.08</v>
      </c>
      <c r="J560" s="7"/>
    </row>
    <row r="561">
      <c r="A561" s="7"/>
      <c r="B561" s="7"/>
      <c r="C561" s="7"/>
      <c r="D561" s="7"/>
      <c r="E561" s="7"/>
      <c r="F561" s="7"/>
      <c r="G561" s="7"/>
      <c r="H561" s="15">
        <f>IFERROR(__xludf.DUMMYFUNCTION("""COMPUTED_VALUE"""),43550.66666666667)</f>
        <v>43550.66667</v>
      </c>
      <c r="I561" s="16">
        <f>IFERROR(__xludf.DUMMYFUNCTION("""COMPUTED_VALUE"""),53.55)</f>
        <v>53.55</v>
      </c>
      <c r="J561" s="7"/>
    </row>
    <row r="562">
      <c r="A562" s="7"/>
      <c r="B562" s="7"/>
      <c r="C562" s="7"/>
      <c r="D562" s="7"/>
      <c r="E562" s="7"/>
      <c r="F562" s="7"/>
      <c r="G562" s="7"/>
      <c r="H562" s="15">
        <f>IFERROR(__xludf.DUMMYFUNCTION("""COMPUTED_VALUE"""),43551.66666666667)</f>
        <v>43551.66667</v>
      </c>
      <c r="I562" s="16">
        <f>IFERROR(__xludf.DUMMYFUNCTION("""COMPUTED_VALUE"""),54.97)</f>
        <v>54.97</v>
      </c>
      <c r="J562" s="7"/>
    </row>
    <row r="563">
      <c r="A563" s="7"/>
      <c r="B563" s="7"/>
      <c r="C563" s="7"/>
      <c r="D563" s="7"/>
      <c r="E563" s="7"/>
      <c r="F563" s="7"/>
      <c r="G563" s="7"/>
      <c r="H563" s="15">
        <f>IFERROR(__xludf.DUMMYFUNCTION("""COMPUTED_VALUE"""),43552.66666666667)</f>
        <v>43552.66667</v>
      </c>
      <c r="I563" s="16">
        <f>IFERROR(__xludf.DUMMYFUNCTION("""COMPUTED_VALUE"""),55.72)</f>
        <v>55.72</v>
      </c>
      <c r="J563" s="7"/>
    </row>
    <row r="564">
      <c r="A564" s="7"/>
      <c r="B564" s="7"/>
      <c r="C564" s="7"/>
      <c r="D564" s="7"/>
      <c r="E564" s="7"/>
      <c r="F564" s="7"/>
      <c r="G564" s="7"/>
      <c r="H564" s="15">
        <f>IFERROR(__xludf.DUMMYFUNCTION("""COMPUTED_VALUE"""),43553.66666666667)</f>
        <v>43553.66667</v>
      </c>
      <c r="I564" s="16">
        <f>IFERROR(__xludf.DUMMYFUNCTION("""COMPUTED_VALUE"""),55.97)</f>
        <v>55.97</v>
      </c>
      <c r="J564" s="7"/>
    </row>
    <row r="565">
      <c r="A565" s="7"/>
      <c r="B565" s="7"/>
      <c r="C565" s="7"/>
      <c r="D565" s="7"/>
      <c r="E565" s="7"/>
      <c r="F565" s="7"/>
      <c r="G565" s="7"/>
      <c r="H565" s="15">
        <f>IFERROR(__xludf.DUMMYFUNCTION("""COMPUTED_VALUE"""),43556.66666666667)</f>
        <v>43556.66667</v>
      </c>
      <c r="I565" s="16">
        <f>IFERROR(__xludf.DUMMYFUNCTION("""COMPUTED_VALUE"""),57.84)</f>
        <v>57.84</v>
      </c>
      <c r="J565" s="7"/>
    </row>
    <row r="566">
      <c r="A566" s="7"/>
      <c r="B566" s="7"/>
      <c r="C566" s="7"/>
      <c r="D566" s="7"/>
      <c r="E566" s="7"/>
      <c r="F566" s="7"/>
      <c r="G566" s="7"/>
      <c r="H566" s="15">
        <f>IFERROR(__xludf.DUMMYFUNCTION("""COMPUTED_VALUE"""),43557.66666666667)</f>
        <v>43557.66667</v>
      </c>
      <c r="I566" s="16">
        <f>IFERROR(__xludf.DUMMYFUNCTION("""COMPUTED_VALUE"""),57.18)</f>
        <v>57.18</v>
      </c>
      <c r="J566" s="7"/>
    </row>
    <row r="567">
      <c r="A567" s="7"/>
      <c r="B567" s="7"/>
      <c r="C567" s="7"/>
      <c r="D567" s="7"/>
      <c r="E567" s="7"/>
      <c r="F567" s="7"/>
      <c r="G567" s="7"/>
      <c r="H567" s="15">
        <f>IFERROR(__xludf.DUMMYFUNCTION("""COMPUTED_VALUE"""),43558.66666666667)</f>
        <v>43558.66667</v>
      </c>
      <c r="I567" s="16">
        <f>IFERROR(__xludf.DUMMYFUNCTION("""COMPUTED_VALUE"""),58.36)</f>
        <v>58.36</v>
      </c>
      <c r="J567" s="7"/>
    </row>
    <row r="568">
      <c r="A568" s="7"/>
      <c r="B568" s="7"/>
      <c r="C568" s="7"/>
      <c r="D568" s="7"/>
      <c r="E568" s="7"/>
      <c r="F568" s="7"/>
      <c r="G568" s="7"/>
      <c r="H568" s="15">
        <f>IFERROR(__xludf.DUMMYFUNCTION("""COMPUTED_VALUE"""),43559.66666666667)</f>
        <v>43559.66667</v>
      </c>
      <c r="I568" s="16">
        <f>IFERROR(__xludf.DUMMYFUNCTION("""COMPUTED_VALUE"""),53.56)</f>
        <v>53.56</v>
      </c>
      <c r="J568" s="7"/>
    </row>
    <row r="569">
      <c r="A569" s="7"/>
      <c r="B569" s="7"/>
      <c r="C569" s="7"/>
      <c r="D569" s="7"/>
      <c r="E569" s="7"/>
      <c r="F569" s="7"/>
      <c r="G569" s="7"/>
      <c r="H569" s="15">
        <f>IFERROR(__xludf.DUMMYFUNCTION("""COMPUTED_VALUE"""),43560.66666666667)</f>
        <v>43560.66667</v>
      </c>
      <c r="I569" s="16">
        <f>IFERROR(__xludf.DUMMYFUNCTION("""COMPUTED_VALUE"""),54.99)</f>
        <v>54.99</v>
      </c>
      <c r="J569" s="7"/>
    </row>
    <row r="570">
      <c r="A570" s="7"/>
      <c r="B570" s="7"/>
      <c r="C570" s="7"/>
      <c r="D570" s="7"/>
      <c r="E570" s="7"/>
      <c r="F570" s="7"/>
      <c r="G570" s="7"/>
      <c r="H570" s="15">
        <f>IFERROR(__xludf.DUMMYFUNCTION("""COMPUTED_VALUE"""),43563.66666666667)</f>
        <v>43563.66667</v>
      </c>
      <c r="I570" s="16">
        <f>IFERROR(__xludf.DUMMYFUNCTION("""COMPUTED_VALUE"""),54.64)</f>
        <v>54.64</v>
      </c>
      <c r="J570" s="7"/>
    </row>
    <row r="571">
      <c r="A571" s="7"/>
      <c r="B571" s="7"/>
      <c r="C571" s="7"/>
      <c r="D571" s="7"/>
      <c r="E571" s="7"/>
      <c r="F571" s="7"/>
      <c r="G571" s="7"/>
      <c r="H571" s="15">
        <f>IFERROR(__xludf.DUMMYFUNCTION("""COMPUTED_VALUE"""),43564.66666666667)</f>
        <v>43564.66667</v>
      </c>
      <c r="I571" s="16">
        <f>IFERROR(__xludf.DUMMYFUNCTION("""COMPUTED_VALUE"""),54.46)</f>
        <v>54.46</v>
      </c>
      <c r="J571" s="7"/>
    </row>
    <row r="572">
      <c r="A572" s="7"/>
      <c r="B572" s="7"/>
      <c r="C572" s="7"/>
      <c r="D572" s="7"/>
      <c r="E572" s="7"/>
      <c r="F572" s="7"/>
      <c r="G572" s="7"/>
      <c r="H572" s="15">
        <f>IFERROR(__xludf.DUMMYFUNCTION("""COMPUTED_VALUE"""),43565.66666666667)</f>
        <v>43565.66667</v>
      </c>
      <c r="I572" s="16">
        <f>IFERROR(__xludf.DUMMYFUNCTION("""COMPUTED_VALUE"""),55.21)</f>
        <v>55.21</v>
      </c>
      <c r="J572" s="7"/>
    </row>
    <row r="573">
      <c r="A573" s="7"/>
      <c r="B573" s="7"/>
      <c r="C573" s="7"/>
      <c r="D573" s="7"/>
      <c r="E573" s="7"/>
      <c r="F573" s="7"/>
      <c r="G573" s="7"/>
      <c r="H573" s="15">
        <f>IFERROR(__xludf.DUMMYFUNCTION("""COMPUTED_VALUE"""),43566.66666666667)</f>
        <v>43566.66667</v>
      </c>
      <c r="I573" s="16">
        <f>IFERROR(__xludf.DUMMYFUNCTION("""COMPUTED_VALUE"""),53.68)</f>
        <v>53.68</v>
      </c>
      <c r="J573" s="7"/>
    </row>
    <row r="574">
      <c r="A574" s="7"/>
      <c r="B574" s="7"/>
      <c r="C574" s="7"/>
      <c r="D574" s="7"/>
      <c r="E574" s="7"/>
      <c r="F574" s="7"/>
      <c r="G574" s="7"/>
      <c r="H574" s="15">
        <f>IFERROR(__xludf.DUMMYFUNCTION("""COMPUTED_VALUE"""),43567.66666666667)</f>
        <v>43567.66667</v>
      </c>
      <c r="I574" s="16">
        <f>IFERROR(__xludf.DUMMYFUNCTION("""COMPUTED_VALUE"""),53.54)</f>
        <v>53.54</v>
      </c>
      <c r="J574" s="7"/>
    </row>
    <row r="575">
      <c r="A575" s="7"/>
      <c r="B575" s="7"/>
      <c r="C575" s="7"/>
      <c r="D575" s="7"/>
      <c r="E575" s="7"/>
      <c r="F575" s="7"/>
      <c r="G575" s="7"/>
      <c r="H575" s="15">
        <f>IFERROR(__xludf.DUMMYFUNCTION("""COMPUTED_VALUE"""),43570.66666666667)</f>
        <v>43570.66667</v>
      </c>
      <c r="I575" s="16">
        <f>IFERROR(__xludf.DUMMYFUNCTION("""COMPUTED_VALUE"""),53.28)</f>
        <v>53.28</v>
      </c>
      <c r="J575" s="7"/>
    </row>
    <row r="576">
      <c r="A576" s="7"/>
      <c r="B576" s="7"/>
      <c r="C576" s="7"/>
      <c r="D576" s="7"/>
      <c r="E576" s="7"/>
      <c r="F576" s="7"/>
      <c r="G576" s="7"/>
      <c r="H576" s="15">
        <f>IFERROR(__xludf.DUMMYFUNCTION("""COMPUTED_VALUE"""),43571.66666666667)</f>
        <v>43571.66667</v>
      </c>
      <c r="I576" s="16">
        <f>IFERROR(__xludf.DUMMYFUNCTION("""COMPUTED_VALUE"""),54.67)</f>
        <v>54.67</v>
      </c>
      <c r="J576" s="7"/>
    </row>
    <row r="577">
      <c r="A577" s="7"/>
      <c r="B577" s="7"/>
      <c r="C577" s="7"/>
      <c r="D577" s="7"/>
      <c r="E577" s="7"/>
      <c r="F577" s="7"/>
      <c r="G577" s="7"/>
      <c r="H577" s="15">
        <f>IFERROR(__xludf.DUMMYFUNCTION("""COMPUTED_VALUE"""),43572.66666666667)</f>
        <v>43572.66667</v>
      </c>
      <c r="I577" s="16">
        <f>IFERROR(__xludf.DUMMYFUNCTION("""COMPUTED_VALUE"""),54.25)</f>
        <v>54.25</v>
      </c>
      <c r="J577" s="7"/>
    </row>
    <row r="578">
      <c r="A578" s="7"/>
      <c r="B578" s="7"/>
      <c r="C578" s="7"/>
      <c r="D578" s="7"/>
      <c r="E578" s="7"/>
      <c r="F578" s="7"/>
      <c r="G578" s="7"/>
      <c r="H578" s="15">
        <f>IFERROR(__xludf.DUMMYFUNCTION("""COMPUTED_VALUE"""),43573.66666666667)</f>
        <v>43573.66667</v>
      </c>
      <c r="I578" s="16">
        <f>IFERROR(__xludf.DUMMYFUNCTION("""COMPUTED_VALUE"""),54.65)</f>
        <v>54.65</v>
      </c>
      <c r="J578" s="7"/>
    </row>
    <row r="579">
      <c r="A579" s="7"/>
      <c r="B579" s="7"/>
      <c r="C579" s="7"/>
      <c r="D579" s="7"/>
      <c r="E579" s="7"/>
      <c r="F579" s="7"/>
      <c r="G579" s="7"/>
      <c r="H579" s="15">
        <f>IFERROR(__xludf.DUMMYFUNCTION("""COMPUTED_VALUE"""),43577.66666666667)</f>
        <v>43577.66667</v>
      </c>
      <c r="I579" s="16">
        <f>IFERROR(__xludf.DUMMYFUNCTION("""COMPUTED_VALUE"""),52.55)</f>
        <v>52.55</v>
      </c>
      <c r="J579" s="7"/>
    </row>
    <row r="580">
      <c r="A580" s="7"/>
      <c r="B580" s="7"/>
      <c r="C580" s="7"/>
      <c r="D580" s="7"/>
      <c r="E580" s="7"/>
      <c r="F580" s="7"/>
      <c r="G580" s="7"/>
      <c r="H580" s="15">
        <f>IFERROR(__xludf.DUMMYFUNCTION("""COMPUTED_VALUE"""),43578.66666666667)</f>
        <v>43578.66667</v>
      </c>
      <c r="I580" s="16">
        <f>IFERROR(__xludf.DUMMYFUNCTION("""COMPUTED_VALUE"""),52.78)</f>
        <v>52.78</v>
      </c>
      <c r="J580" s="7"/>
    </row>
    <row r="581">
      <c r="A581" s="7"/>
      <c r="B581" s="7"/>
      <c r="C581" s="7"/>
      <c r="D581" s="7"/>
      <c r="E581" s="7"/>
      <c r="F581" s="7"/>
      <c r="G581" s="7"/>
      <c r="H581" s="15">
        <f>IFERROR(__xludf.DUMMYFUNCTION("""COMPUTED_VALUE"""),43579.66666666667)</f>
        <v>43579.66667</v>
      </c>
      <c r="I581" s="16">
        <f>IFERROR(__xludf.DUMMYFUNCTION("""COMPUTED_VALUE"""),51.73)</f>
        <v>51.73</v>
      </c>
      <c r="J581" s="7"/>
    </row>
    <row r="582">
      <c r="A582" s="7"/>
      <c r="B582" s="7"/>
      <c r="C582" s="7"/>
      <c r="D582" s="7"/>
      <c r="E582" s="7"/>
      <c r="F582" s="7"/>
      <c r="G582" s="7"/>
      <c r="H582" s="15">
        <f>IFERROR(__xludf.DUMMYFUNCTION("""COMPUTED_VALUE"""),43580.66666666667)</f>
        <v>43580.66667</v>
      </c>
      <c r="I582" s="16">
        <f>IFERROR(__xludf.DUMMYFUNCTION("""COMPUTED_VALUE"""),49.53)</f>
        <v>49.53</v>
      </c>
      <c r="J582" s="7"/>
    </row>
    <row r="583">
      <c r="A583" s="7"/>
      <c r="B583" s="7"/>
      <c r="C583" s="7"/>
      <c r="D583" s="7"/>
      <c r="E583" s="7"/>
      <c r="F583" s="7"/>
      <c r="G583" s="7"/>
      <c r="H583" s="15">
        <f>IFERROR(__xludf.DUMMYFUNCTION("""COMPUTED_VALUE"""),43581.66666666667)</f>
        <v>43581.66667</v>
      </c>
      <c r="I583" s="16">
        <f>IFERROR(__xludf.DUMMYFUNCTION("""COMPUTED_VALUE"""),47.03)</f>
        <v>47.03</v>
      </c>
      <c r="J583" s="7"/>
    </row>
    <row r="584">
      <c r="A584" s="7"/>
      <c r="B584" s="7"/>
      <c r="C584" s="7"/>
      <c r="D584" s="7"/>
      <c r="E584" s="7"/>
      <c r="F584" s="7"/>
      <c r="G584" s="7"/>
      <c r="H584" s="15">
        <f>IFERROR(__xludf.DUMMYFUNCTION("""COMPUTED_VALUE"""),43584.66666666667)</f>
        <v>43584.66667</v>
      </c>
      <c r="I584" s="16">
        <f>IFERROR(__xludf.DUMMYFUNCTION("""COMPUTED_VALUE"""),48.29)</f>
        <v>48.29</v>
      </c>
      <c r="J584" s="7"/>
    </row>
    <row r="585">
      <c r="A585" s="7"/>
      <c r="B585" s="7"/>
      <c r="C585" s="7"/>
      <c r="D585" s="7"/>
      <c r="E585" s="7"/>
      <c r="F585" s="7"/>
      <c r="G585" s="7"/>
      <c r="H585" s="15">
        <f>IFERROR(__xludf.DUMMYFUNCTION("""COMPUTED_VALUE"""),43585.66666666667)</f>
        <v>43585.66667</v>
      </c>
      <c r="I585" s="16">
        <f>IFERROR(__xludf.DUMMYFUNCTION("""COMPUTED_VALUE"""),47.74)</f>
        <v>47.74</v>
      </c>
      <c r="J585" s="7"/>
    </row>
    <row r="586">
      <c r="A586" s="7"/>
      <c r="B586" s="7"/>
      <c r="C586" s="7"/>
      <c r="D586" s="7"/>
      <c r="E586" s="7"/>
      <c r="F586" s="7"/>
      <c r="G586" s="7"/>
      <c r="H586" s="15">
        <f>IFERROR(__xludf.DUMMYFUNCTION("""COMPUTED_VALUE"""),43586.66666666667)</f>
        <v>43586.66667</v>
      </c>
      <c r="I586" s="16">
        <f>IFERROR(__xludf.DUMMYFUNCTION("""COMPUTED_VALUE"""),46.8)</f>
        <v>46.8</v>
      </c>
      <c r="J586" s="7"/>
    </row>
    <row r="587">
      <c r="A587" s="7"/>
      <c r="B587" s="7"/>
      <c r="C587" s="7"/>
      <c r="D587" s="7"/>
      <c r="E587" s="7"/>
      <c r="F587" s="7"/>
      <c r="G587" s="7"/>
      <c r="H587" s="15">
        <f>IFERROR(__xludf.DUMMYFUNCTION("""COMPUTED_VALUE"""),43587.66666666667)</f>
        <v>43587.66667</v>
      </c>
      <c r="I587" s="16">
        <f>IFERROR(__xludf.DUMMYFUNCTION("""COMPUTED_VALUE"""),48.82)</f>
        <v>48.82</v>
      </c>
      <c r="J587" s="7"/>
    </row>
    <row r="588">
      <c r="A588" s="7"/>
      <c r="B588" s="7"/>
      <c r="C588" s="7"/>
      <c r="D588" s="7"/>
      <c r="E588" s="7"/>
      <c r="F588" s="7"/>
      <c r="G588" s="7"/>
      <c r="H588" s="15">
        <f>IFERROR(__xludf.DUMMYFUNCTION("""COMPUTED_VALUE"""),43588.66666666667)</f>
        <v>43588.66667</v>
      </c>
      <c r="I588" s="16">
        <f>IFERROR(__xludf.DUMMYFUNCTION("""COMPUTED_VALUE"""),51.01)</f>
        <v>51.01</v>
      </c>
      <c r="J588" s="7"/>
    </row>
    <row r="589">
      <c r="A589" s="7"/>
      <c r="B589" s="7"/>
      <c r="C589" s="7"/>
      <c r="D589" s="7"/>
      <c r="E589" s="7"/>
      <c r="F589" s="7"/>
      <c r="G589" s="7"/>
      <c r="H589" s="15">
        <f>IFERROR(__xludf.DUMMYFUNCTION("""COMPUTED_VALUE"""),43591.66666666667)</f>
        <v>43591.66667</v>
      </c>
      <c r="I589" s="16">
        <f>IFERROR(__xludf.DUMMYFUNCTION("""COMPUTED_VALUE"""),51.07)</f>
        <v>51.07</v>
      </c>
      <c r="J589" s="7"/>
    </row>
    <row r="590">
      <c r="A590" s="7"/>
      <c r="B590" s="7"/>
      <c r="C590" s="7"/>
      <c r="D590" s="7"/>
      <c r="E590" s="7"/>
      <c r="F590" s="7"/>
      <c r="G590" s="7"/>
      <c r="H590" s="15">
        <f>IFERROR(__xludf.DUMMYFUNCTION("""COMPUTED_VALUE"""),43592.66666666667)</f>
        <v>43592.66667</v>
      </c>
      <c r="I590" s="16">
        <f>IFERROR(__xludf.DUMMYFUNCTION("""COMPUTED_VALUE"""),49.41)</f>
        <v>49.41</v>
      </c>
      <c r="J590" s="7"/>
    </row>
    <row r="591">
      <c r="A591" s="7"/>
      <c r="B591" s="7"/>
      <c r="C591" s="7"/>
      <c r="D591" s="7"/>
      <c r="E591" s="7"/>
      <c r="F591" s="7"/>
      <c r="G591" s="7"/>
      <c r="H591" s="15">
        <f>IFERROR(__xludf.DUMMYFUNCTION("""COMPUTED_VALUE"""),43593.66666666667)</f>
        <v>43593.66667</v>
      </c>
      <c r="I591" s="16">
        <f>IFERROR(__xludf.DUMMYFUNCTION("""COMPUTED_VALUE"""),48.97)</f>
        <v>48.97</v>
      </c>
      <c r="J591" s="7"/>
    </row>
    <row r="592">
      <c r="A592" s="7"/>
      <c r="B592" s="7"/>
      <c r="C592" s="7"/>
      <c r="D592" s="7"/>
      <c r="E592" s="7"/>
      <c r="F592" s="7"/>
      <c r="G592" s="7"/>
      <c r="H592" s="15">
        <f>IFERROR(__xludf.DUMMYFUNCTION("""COMPUTED_VALUE"""),43594.66666666667)</f>
        <v>43594.66667</v>
      </c>
      <c r="I592" s="16">
        <f>IFERROR(__xludf.DUMMYFUNCTION("""COMPUTED_VALUE"""),48.4)</f>
        <v>48.4</v>
      </c>
      <c r="J592" s="7"/>
    </row>
    <row r="593">
      <c r="A593" s="7"/>
      <c r="B593" s="7"/>
      <c r="C593" s="7"/>
      <c r="D593" s="7"/>
      <c r="E593" s="7"/>
      <c r="F593" s="7"/>
      <c r="G593" s="7"/>
      <c r="H593" s="15">
        <f>IFERROR(__xludf.DUMMYFUNCTION("""COMPUTED_VALUE"""),43595.66666666667)</f>
        <v>43595.66667</v>
      </c>
      <c r="I593" s="16">
        <f>IFERROR(__xludf.DUMMYFUNCTION("""COMPUTED_VALUE"""),47.9)</f>
        <v>47.9</v>
      </c>
      <c r="J593" s="7"/>
    </row>
    <row r="594">
      <c r="A594" s="7"/>
      <c r="B594" s="7"/>
      <c r="C594" s="7"/>
      <c r="D594" s="7"/>
      <c r="E594" s="7"/>
      <c r="F594" s="7"/>
      <c r="G594" s="7"/>
      <c r="H594" s="15">
        <f>IFERROR(__xludf.DUMMYFUNCTION("""COMPUTED_VALUE"""),43598.66666666667)</f>
        <v>43598.66667</v>
      </c>
      <c r="I594" s="16">
        <f>IFERROR(__xludf.DUMMYFUNCTION("""COMPUTED_VALUE"""),45.4)</f>
        <v>45.4</v>
      </c>
      <c r="J594" s="7"/>
    </row>
    <row r="595">
      <c r="A595" s="7"/>
      <c r="B595" s="7"/>
      <c r="C595" s="7"/>
      <c r="D595" s="7"/>
      <c r="E595" s="7"/>
      <c r="F595" s="7"/>
      <c r="G595" s="7"/>
      <c r="H595" s="15">
        <f>IFERROR(__xludf.DUMMYFUNCTION("""COMPUTED_VALUE"""),43599.66666666667)</f>
        <v>43599.66667</v>
      </c>
      <c r="I595" s="16">
        <f>IFERROR(__xludf.DUMMYFUNCTION("""COMPUTED_VALUE"""),46.46)</f>
        <v>46.46</v>
      </c>
      <c r="J595" s="7"/>
    </row>
    <row r="596">
      <c r="A596" s="7"/>
      <c r="B596" s="7"/>
      <c r="C596" s="7"/>
      <c r="D596" s="7"/>
      <c r="E596" s="7"/>
      <c r="F596" s="7"/>
      <c r="G596" s="7"/>
      <c r="H596" s="15">
        <f>IFERROR(__xludf.DUMMYFUNCTION("""COMPUTED_VALUE"""),43600.66666666667)</f>
        <v>43600.66667</v>
      </c>
      <c r="I596" s="16">
        <f>IFERROR(__xludf.DUMMYFUNCTION("""COMPUTED_VALUE"""),46.39)</f>
        <v>46.39</v>
      </c>
      <c r="J596" s="7"/>
    </row>
    <row r="597">
      <c r="A597" s="7"/>
      <c r="B597" s="7"/>
      <c r="C597" s="7"/>
      <c r="D597" s="7"/>
      <c r="E597" s="7"/>
      <c r="F597" s="7"/>
      <c r="G597" s="7"/>
      <c r="H597" s="15">
        <f>IFERROR(__xludf.DUMMYFUNCTION("""COMPUTED_VALUE"""),43601.66666666667)</f>
        <v>43601.66667</v>
      </c>
      <c r="I597" s="16">
        <f>IFERROR(__xludf.DUMMYFUNCTION("""COMPUTED_VALUE"""),45.67)</f>
        <v>45.67</v>
      </c>
      <c r="J597" s="7"/>
    </row>
    <row r="598">
      <c r="A598" s="7"/>
      <c r="B598" s="7"/>
      <c r="C598" s="7"/>
      <c r="D598" s="7"/>
      <c r="E598" s="7"/>
      <c r="F598" s="7"/>
      <c r="G598" s="7"/>
      <c r="H598" s="15">
        <f>IFERROR(__xludf.DUMMYFUNCTION("""COMPUTED_VALUE"""),43602.66666666667)</f>
        <v>43602.66667</v>
      </c>
      <c r="I598" s="16">
        <f>IFERROR(__xludf.DUMMYFUNCTION("""COMPUTED_VALUE"""),42.21)</f>
        <v>42.21</v>
      </c>
      <c r="J598" s="7"/>
    </row>
    <row r="599">
      <c r="A599" s="7"/>
      <c r="B599" s="7"/>
      <c r="C599" s="7"/>
      <c r="D599" s="7"/>
      <c r="E599" s="7"/>
      <c r="F599" s="7"/>
      <c r="G599" s="7"/>
      <c r="H599" s="15">
        <f>IFERROR(__xludf.DUMMYFUNCTION("""COMPUTED_VALUE"""),43605.66666666667)</f>
        <v>43605.66667</v>
      </c>
      <c r="I599" s="16">
        <f>IFERROR(__xludf.DUMMYFUNCTION("""COMPUTED_VALUE"""),41.07)</f>
        <v>41.07</v>
      </c>
      <c r="J599" s="7"/>
    </row>
    <row r="600">
      <c r="A600" s="7"/>
      <c r="B600" s="7"/>
      <c r="C600" s="7"/>
      <c r="D600" s="7"/>
      <c r="E600" s="7"/>
      <c r="F600" s="7"/>
      <c r="G600" s="7"/>
      <c r="H600" s="15">
        <f>IFERROR(__xludf.DUMMYFUNCTION("""COMPUTED_VALUE"""),43606.66666666667)</f>
        <v>43606.66667</v>
      </c>
      <c r="I600" s="16">
        <f>IFERROR(__xludf.DUMMYFUNCTION("""COMPUTED_VALUE"""),41.02)</f>
        <v>41.02</v>
      </c>
      <c r="J600" s="7"/>
    </row>
    <row r="601">
      <c r="A601" s="7"/>
      <c r="B601" s="7"/>
      <c r="C601" s="7"/>
      <c r="D601" s="7"/>
      <c r="E601" s="7"/>
      <c r="F601" s="7"/>
      <c r="G601" s="7"/>
      <c r="H601" s="15">
        <f>IFERROR(__xludf.DUMMYFUNCTION("""COMPUTED_VALUE"""),43607.66666666667)</f>
        <v>43607.66667</v>
      </c>
      <c r="I601" s="16">
        <f>IFERROR(__xludf.DUMMYFUNCTION("""COMPUTED_VALUE"""),38.55)</f>
        <v>38.55</v>
      </c>
      <c r="J601" s="7"/>
    </row>
    <row r="602">
      <c r="A602" s="7"/>
      <c r="B602" s="7"/>
      <c r="C602" s="7"/>
      <c r="D602" s="7"/>
      <c r="E602" s="7"/>
      <c r="F602" s="7"/>
      <c r="G602" s="7"/>
      <c r="H602" s="15">
        <f>IFERROR(__xludf.DUMMYFUNCTION("""COMPUTED_VALUE"""),43608.66666666667)</f>
        <v>43608.66667</v>
      </c>
      <c r="I602" s="16">
        <f>IFERROR(__xludf.DUMMYFUNCTION("""COMPUTED_VALUE"""),39.1)</f>
        <v>39.1</v>
      </c>
      <c r="J602" s="7"/>
    </row>
    <row r="603">
      <c r="A603" s="7"/>
      <c r="B603" s="7"/>
      <c r="C603" s="7"/>
      <c r="D603" s="7"/>
      <c r="E603" s="7"/>
      <c r="F603" s="7"/>
      <c r="G603" s="7"/>
      <c r="H603" s="15">
        <f>IFERROR(__xludf.DUMMYFUNCTION("""COMPUTED_VALUE"""),43609.66666666667)</f>
        <v>43609.66667</v>
      </c>
      <c r="I603" s="16">
        <f>IFERROR(__xludf.DUMMYFUNCTION("""COMPUTED_VALUE"""),38.13)</f>
        <v>38.13</v>
      </c>
      <c r="J603" s="7"/>
    </row>
    <row r="604">
      <c r="A604" s="7"/>
      <c r="B604" s="7"/>
      <c r="C604" s="7"/>
      <c r="D604" s="7"/>
      <c r="E604" s="7"/>
      <c r="F604" s="7"/>
      <c r="G604" s="7"/>
      <c r="H604" s="15">
        <f>IFERROR(__xludf.DUMMYFUNCTION("""COMPUTED_VALUE"""),43613.66666666667)</f>
        <v>43613.66667</v>
      </c>
      <c r="I604" s="16">
        <f>IFERROR(__xludf.DUMMYFUNCTION("""COMPUTED_VALUE"""),37.74)</f>
        <v>37.74</v>
      </c>
      <c r="J604" s="7"/>
    </row>
    <row r="605">
      <c r="A605" s="7"/>
      <c r="B605" s="7"/>
      <c r="C605" s="7"/>
      <c r="D605" s="7"/>
      <c r="E605" s="7"/>
      <c r="F605" s="7"/>
      <c r="G605" s="7"/>
      <c r="H605" s="15">
        <f>IFERROR(__xludf.DUMMYFUNCTION("""COMPUTED_VALUE"""),43614.66666666667)</f>
        <v>43614.66667</v>
      </c>
      <c r="I605" s="16">
        <f>IFERROR(__xludf.DUMMYFUNCTION("""COMPUTED_VALUE"""),37.97)</f>
        <v>37.97</v>
      </c>
      <c r="J605" s="7"/>
    </row>
    <row r="606">
      <c r="A606" s="7"/>
      <c r="B606" s="7"/>
      <c r="C606" s="7"/>
      <c r="D606" s="7"/>
      <c r="E606" s="7"/>
      <c r="F606" s="7"/>
      <c r="G606" s="7"/>
      <c r="H606" s="15">
        <f>IFERROR(__xludf.DUMMYFUNCTION("""COMPUTED_VALUE"""),43615.66666666667)</f>
        <v>43615.66667</v>
      </c>
      <c r="I606" s="16">
        <f>IFERROR(__xludf.DUMMYFUNCTION("""COMPUTED_VALUE"""),37.64)</f>
        <v>37.64</v>
      </c>
      <c r="J606" s="7"/>
    </row>
    <row r="607">
      <c r="A607" s="7"/>
      <c r="B607" s="7"/>
      <c r="C607" s="7"/>
      <c r="D607" s="7"/>
      <c r="E607" s="7"/>
      <c r="F607" s="7"/>
      <c r="G607" s="7"/>
      <c r="H607" s="15">
        <f>IFERROR(__xludf.DUMMYFUNCTION("""COMPUTED_VALUE"""),43616.66666666667)</f>
        <v>43616.66667</v>
      </c>
      <c r="I607" s="16">
        <f>IFERROR(__xludf.DUMMYFUNCTION("""COMPUTED_VALUE"""),37.03)</f>
        <v>37.03</v>
      </c>
      <c r="J607" s="7"/>
    </row>
    <row r="608">
      <c r="A608" s="7"/>
      <c r="B608" s="7"/>
      <c r="C608" s="7"/>
      <c r="D608" s="7"/>
      <c r="E608" s="7"/>
      <c r="F608" s="7"/>
      <c r="G608" s="7"/>
      <c r="H608" s="15">
        <f>IFERROR(__xludf.DUMMYFUNCTION("""COMPUTED_VALUE"""),43619.66666666667)</f>
        <v>43619.66667</v>
      </c>
      <c r="I608" s="16">
        <f>IFERROR(__xludf.DUMMYFUNCTION("""COMPUTED_VALUE"""),35.79)</f>
        <v>35.79</v>
      </c>
      <c r="J608" s="7"/>
    </row>
    <row r="609">
      <c r="A609" s="7"/>
      <c r="B609" s="7"/>
      <c r="C609" s="7"/>
      <c r="D609" s="7"/>
      <c r="E609" s="7"/>
      <c r="F609" s="7"/>
      <c r="G609" s="7"/>
      <c r="H609" s="15">
        <f>IFERROR(__xludf.DUMMYFUNCTION("""COMPUTED_VALUE"""),43620.66666666667)</f>
        <v>43620.66667</v>
      </c>
      <c r="I609" s="16">
        <f>IFERROR(__xludf.DUMMYFUNCTION("""COMPUTED_VALUE"""),38.72)</f>
        <v>38.72</v>
      </c>
      <c r="J609" s="7"/>
    </row>
    <row r="610">
      <c r="A610" s="7"/>
      <c r="B610" s="7"/>
      <c r="C610" s="7"/>
      <c r="D610" s="7"/>
      <c r="E610" s="7"/>
      <c r="F610" s="7"/>
      <c r="G610" s="7"/>
      <c r="H610" s="15">
        <f>IFERROR(__xludf.DUMMYFUNCTION("""COMPUTED_VALUE"""),43621.66666666667)</f>
        <v>43621.66667</v>
      </c>
      <c r="I610" s="16">
        <f>IFERROR(__xludf.DUMMYFUNCTION("""COMPUTED_VALUE"""),39.32)</f>
        <v>39.32</v>
      </c>
      <c r="J610" s="7"/>
    </row>
    <row r="611">
      <c r="A611" s="7"/>
      <c r="B611" s="7"/>
      <c r="C611" s="7"/>
      <c r="D611" s="7"/>
      <c r="E611" s="7"/>
      <c r="F611" s="7"/>
      <c r="G611" s="7"/>
      <c r="H611" s="15">
        <f>IFERROR(__xludf.DUMMYFUNCTION("""COMPUTED_VALUE"""),43622.66666666667)</f>
        <v>43622.66667</v>
      </c>
      <c r="I611" s="16">
        <f>IFERROR(__xludf.DUMMYFUNCTION("""COMPUTED_VALUE"""),41.19)</f>
        <v>41.19</v>
      </c>
      <c r="J611" s="7"/>
    </row>
    <row r="612">
      <c r="A612" s="7"/>
      <c r="B612" s="7"/>
      <c r="C612" s="7"/>
      <c r="D612" s="7"/>
      <c r="E612" s="7"/>
      <c r="F612" s="7"/>
      <c r="G612" s="7"/>
      <c r="H612" s="15">
        <f>IFERROR(__xludf.DUMMYFUNCTION("""COMPUTED_VALUE"""),43623.66666666667)</f>
        <v>43623.66667</v>
      </c>
      <c r="I612" s="16">
        <f>IFERROR(__xludf.DUMMYFUNCTION("""COMPUTED_VALUE"""),40.9)</f>
        <v>40.9</v>
      </c>
      <c r="J612" s="7"/>
    </row>
    <row r="613">
      <c r="A613" s="7"/>
      <c r="B613" s="7"/>
      <c r="C613" s="7"/>
      <c r="D613" s="7"/>
      <c r="E613" s="7"/>
      <c r="F613" s="7"/>
      <c r="G613" s="7"/>
      <c r="H613" s="15">
        <f>IFERROR(__xludf.DUMMYFUNCTION("""COMPUTED_VALUE"""),43626.66666666667)</f>
        <v>43626.66667</v>
      </c>
      <c r="I613" s="16">
        <f>IFERROR(__xludf.DUMMYFUNCTION("""COMPUTED_VALUE"""),42.58)</f>
        <v>42.58</v>
      </c>
      <c r="J613" s="7"/>
    </row>
    <row r="614">
      <c r="A614" s="7"/>
      <c r="B614" s="7"/>
      <c r="C614" s="7"/>
      <c r="D614" s="7"/>
      <c r="E614" s="7"/>
      <c r="F614" s="7"/>
      <c r="G614" s="7"/>
      <c r="H614" s="15">
        <f>IFERROR(__xludf.DUMMYFUNCTION("""COMPUTED_VALUE"""),43627.66666666667)</f>
        <v>43627.66667</v>
      </c>
      <c r="I614" s="16">
        <f>IFERROR(__xludf.DUMMYFUNCTION("""COMPUTED_VALUE"""),43.42)</f>
        <v>43.42</v>
      </c>
      <c r="J614" s="7"/>
    </row>
    <row r="615">
      <c r="A615" s="7"/>
      <c r="B615" s="7"/>
      <c r="C615" s="7"/>
      <c r="D615" s="7"/>
      <c r="E615" s="7"/>
      <c r="F615" s="7"/>
      <c r="G615" s="7"/>
      <c r="H615" s="15">
        <f>IFERROR(__xludf.DUMMYFUNCTION("""COMPUTED_VALUE"""),43628.66666666667)</f>
        <v>43628.66667</v>
      </c>
      <c r="I615" s="16">
        <f>IFERROR(__xludf.DUMMYFUNCTION("""COMPUTED_VALUE"""),41.85)</f>
        <v>41.85</v>
      </c>
      <c r="J615" s="7"/>
    </row>
    <row r="616">
      <c r="A616" s="7"/>
      <c r="B616" s="7"/>
      <c r="C616" s="7"/>
      <c r="D616" s="7"/>
      <c r="E616" s="7"/>
      <c r="F616" s="7"/>
      <c r="G616" s="7"/>
      <c r="H616" s="15">
        <f>IFERROR(__xludf.DUMMYFUNCTION("""COMPUTED_VALUE"""),43629.66666666667)</f>
        <v>43629.66667</v>
      </c>
      <c r="I616" s="16">
        <f>IFERROR(__xludf.DUMMYFUNCTION("""COMPUTED_VALUE"""),42.78)</f>
        <v>42.78</v>
      </c>
      <c r="J616" s="7"/>
    </row>
    <row r="617">
      <c r="A617" s="7"/>
      <c r="B617" s="7"/>
      <c r="C617" s="7"/>
      <c r="D617" s="7"/>
      <c r="E617" s="7"/>
      <c r="F617" s="7"/>
      <c r="G617" s="7"/>
      <c r="H617" s="15">
        <f>IFERROR(__xludf.DUMMYFUNCTION("""COMPUTED_VALUE"""),43630.66666666667)</f>
        <v>43630.66667</v>
      </c>
      <c r="I617" s="16">
        <f>IFERROR(__xludf.DUMMYFUNCTION("""COMPUTED_VALUE"""),42.98)</f>
        <v>42.98</v>
      </c>
      <c r="J617" s="7"/>
    </row>
    <row r="618">
      <c r="A618" s="7"/>
      <c r="B618" s="7"/>
      <c r="C618" s="7"/>
      <c r="D618" s="7"/>
      <c r="E618" s="7"/>
      <c r="F618" s="7"/>
      <c r="G618" s="7"/>
      <c r="H618" s="15">
        <f>IFERROR(__xludf.DUMMYFUNCTION("""COMPUTED_VALUE"""),43633.66666666667)</f>
        <v>43633.66667</v>
      </c>
      <c r="I618" s="16">
        <f>IFERROR(__xludf.DUMMYFUNCTION("""COMPUTED_VALUE"""),45.01)</f>
        <v>45.01</v>
      </c>
      <c r="J618" s="7"/>
    </row>
    <row r="619">
      <c r="A619" s="7"/>
      <c r="B619" s="7"/>
      <c r="C619" s="7"/>
      <c r="D619" s="7"/>
      <c r="E619" s="7"/>
      <c r="F619" s="7"/>
      <c r="G619" s="7"/>
      <c r="H619" s="15">
        <f>IFERROR(__xludf.DUMMYFUNCTION("""COMPUTED_VALUE"""),43634.66666666667)</f>
        <v>43634.66667</v>
      </c>
      <c r="I619" s="16">
        <f>IFERROR(__xludf.DUMMYFUNCTION("""COMPUTED_VALUE"""),44.95)</f>
        <v>44.95</v>
      </c>
      <c r="J619" s="7"/>
    </row>
    <row r="620">
      <c r="A620" s="7"/>
      <c r="B620" s="7"/>
      <c r="C620" s="7"/>
      <c r="D620" s="7"/>
      <c r="E620" s="7"/>
      <c r="F620" s="7"/>
      <c r="G620" s="7"/>
      <c r="H620" s="15">
        <f>IFERROR(__xludf.DUMMYFUNCTION("""COMPUTED_VALUE"""),43635.66666666667)</f>
        <v>43635.66667</v>
      </c>
      <c r="I620" s="16">
        <f>IFERROR(__xludf.DUMMYFUNCTION("""COMPUTED_VALUE"""),45.29)</f>
        <v>45.29</v>
      </c>
      <c r="J620" s="7"/>
    </row>
    <row r="621">
      <c r="A621" s="7"/>
      <c r="B621" s="7"/>
      <c r="C621" s="7"/>
      <c r="D621" s="7"/>
      <c r="E621" s="7"/>
      <c r="F621" s="7"/>
      <c r="G621" s="7"/>
      <c r="H621" s="15">
        <f>IFERROR(__xludf.DUMMYFUNCTION("""COMPUTED_VALUE"""),43636.66666666667)</f>
        <v>43636.66667</v>
      </c>
      <c r="I621" s="16">
        <f>IFERROR(__xludf.DUMMYFUNCTION("""COMPUTED_VALUE"""),43.92)</f>
        <v>43.92</v>
      </c>
      <c r="J621" s="7"/>
    </row>
    <row r="622">
      <c r="A622" s="7"/>
      <c r="B622" s="7"/>
      <c r="C622" s="7"/>
      <c r="D622" s="7"/>
      <c r="E622" s="7"/>
      <c r="F622" s="7"/>
      <c r="G622" s="7"/>
      <c r="H622" s="15">
        <f>IFERROR(__xludf.DUMMYFUNCTION("""COMPUTED_VALUE"""),43637.66666666667)</f>
        <v>43637.66667</v>
      </c>
      <c r="I622" s="16">
        <f>IFERROR(__xludf.DUMMYFUNCTION("""COMPUTED_VALUE"""),44.37)</f>
        <v>44.37</v>
      </c>
      <c r="J622" s="7"/>
    </row>
    <row r="623">
      <c r="A623" s="7"/>
      <c r="B623" s="7"/>
      <c r="C623" s="7"/>
      <c r="D623" s="7"/>
      <c r="E623" s="7"/>
      <c r="F623" s="7"/>
      <c r="G623" s="7"/>
      <c r="H623" s="15">
        <f>IFERROR(__xludf.DUMMYFUNCTION("""COMPUTED_VALUE"""),43640.66666666667)</f>
        <v>43640.66667</v>
      </c>
      <c r="I623" s="16">
        <f>IFERROR(__xludf.DUMMYFUNCTION("""COMPUTED_VALUE"""),44.73)</f>
        <v>44.73</v>
      </c>
      <c r="J623" s="7"/>
    </row>
    <row r="624">
      <c r="A624" s="7"/>
      <c r="B624" s="7"/>
      <c r="C624" s="7"/>
      <c r="D624" s="7"/>
      <c r="E624" s="7"/>
      <c r="F624" s="7"/>
      <c r="G624" s="7"/>
      <c r="H624" s="15">
        <f>IFERROR(__xludf.DUMMYFUNCTION("""COMPUTED_VALUE"""),43641.66666666667)</f>
        <v>43641.66667</v>
      </c>
      <c r="I624" s="16">
        <f>IFERROR(__xludf.DUMMYFUNCTION("""COMPUTED_VALUE"""),43.95)</f>
        <v>43.95</v>
      </c>
      <c r="J624" s="7"/>
    </row>
    <row r="625">
      <c r="A625" s="7"/>
      <c r="B625" s="7"/>
      <c r="C625" s="7"/>
      <c r="D625" s="7"/>
      <c r="E625" s="7"/>
      <c r="F625" s="7"/>
      <c r="G625" s="7"/>
      <c r="H625" s="15">
        <f>IFERROR(__xludf.DUMMYFUNCTION("""COMPUTED_VALUE"""),43642.66666666667)</f>
        <v>43642.66667</v>
      </c>
      <c r="I625" s="16">
        <f>IFERROR(__xludf.DUMMYFUNCTION("""COMPUTED_VALUE"""),43.85)</f>
        <v>43.85</v>
      </c>
      <c r="J625" s="7"/>
    </row>
    <row r="626">
      <c r="A626" s="7"/>
      <c r="B626" s="7"/>
      <c r="C626" s="7"/>
      <c r="D626" s="7"/>
      <c r="E626" s="7"/>
      <c r="F626" s="7"/>
      <c r="G626" s="7"/>
      <c r="H626" s="15">
        <f>IFERROR(__xludf.DUMMYFUNCTION("""COMPUTED_VALUE"""),43643.66666666667)</f>
        <v>43643.66667</v>
      </c>
      <c r="I626" s="16">
        <f>IFERROR(__xludf.DUMMYFUNCTION("""COMPUTED_VALUE"""),44.57)</f>
        <v>44.57</v>
      </c>
      <c r="J626" s="7"/>
    </row>
    <row r="627">
      <c r="A627" s="7"/>
      <c r="B627" s="7"/>
      <c r="C627" s="7"/>
      <c r="D627" s="7"/>
      <c r="E627" s="7"/>
      <c r="F627" s="7"/>
      <c r="G627" s="7"/>
      <c r="H627" s="15">
        <f>IFERROR(__xludf.DUMMYFUNCTION("""COMPUTED_VALUE"""),43644.66666666667)</f>
        <v>43644.66667</v>
      </c>
      <c r="I627" s="16">
        <f>IFERROR(__xludf.DUMMYFUNCTION("""COMPUTED_VALUE"""),44.69)</f>
        <v>44.69</v>
      </c>
      <c r="J627" s="7"/>
    </row>
    <row r="628">
      <c r="A628" s="7"/>
      <c r="B628" s="7"/>
      <c r="C628" s="7"/>
      <c r="D628" s="7"/>
      <c r="E628" s="7"/>
      <c r="F628" s="7"/>
      <c r="G628" s="7"/>
      <c r="H628" s="15">
        <f>IFERROR(__xludf.DUMMYFUNCTION("""COMPUTED_VALUE"""),43647.66666666667)</f>
        <v>43647.66667</v>
      </c>
      <c r="I628" s="16">
        <f>IFERROR(__xludf.DUMMYFUNCTION("""COMPUTED_VALUE"""),45.43)</f>
        <v>45.43</v>
      </c>
      <c r="J628" s="7"/>
    </row>
    <row r="629">
      <c r="A629" s="7"/>
      <c r="B629" s="7"/>
      <c r="C629" s="7"/>
      <c r="D629" s="7"/>
      <c r="E629" s="7"/>
      <c r="F629" s="7"/>
      <c r="G629" s="7"/>
      <c r="H629" s="15">
        <f>IFERROR(__xludf.DUMMYFUNCTION("""COMPUTED_VALUE"""),43648.66666666667)</f>
        <v>43648.66667</v>
      </c>
      <c r="I629" s="16">
        <f>IFERROR(__xludf.DUMMYFUNCTION("""COMPUTED_VALUE"""),44.91)</f>
        <v>44.91</v>
      </c>
      <c r="J629" s="7"/>
    </row>
    <row r="630">
      <c r="A630" s="7"/>
      <c r="B630" s="7"/>
      <c r="C630" s="7"/>
      <c r="D630" s="7"/>
      <c r="E630" s="7"/>
      <c r="F630" s="7"/>
      <c r="G630" s="7"/>
      <c r="H630" s="15">
        <f>IFERROR(__xludf.DUMMYFUNCTION("""COMPUTED_VALUE"""),43649.54166666667)</f>
        <v>43649.54167</v>
      </c>
      <c r="I630" s="16">
        <f>IFERROR(__xludf.DUMMYFUNCTION("""COMPUTED_VALUE"""),46.98)</f>
        <v>46.98</v>
      </c>
      <c r="J630" s="7"/>
    </row>
    <row r="631">
      <c r="A631" s="7"/>
      <c r="B631" s="7"/>
      <c r="C631" s="7"/>
      <c r="D631" s="7"/>
      <c r="E631" s="7"/>
      <c r="F631" s="7"/>
      <c r="G631" s="7"/>
      <c r="H631" s="15">
        <f>IFERROR(__xludf.DUMMYFUNCTION("""COMPUTED_VALUE"""),43651.66666666667)</f>
        <v>43651.66667</v>
      </c>
      <c r="I631" s="16">
        <f>IFERROR(__xludf.DUMMYFUNCTION("""COMPUTED_VALUE"""),46.62)</f>
        <v>46.62</v>
      </c>
      <c r="J631" s="7"/>
    </row>
    <row r="632">
      <c r="A632" s="7"/>
      <c r="B632" s="7"/>
      <c r="C632" s="7"/>
      <c r="D632" s="7"/>
      <c r="E632" s="7"/>
      <c r="F632" s="7"/>
      <c r="G632" s="7"/>
      <c r="H632" s="15">
        <f>IFERROR(__xludf.DUMMYFUNCTION("""COMPUTED_VALUE"""),43654.66666666667)</f>
        <v>43654.66667</v>
      </c>
      <c r="I632" s="16">
        <f>IFERROR(__xludf.DUMMYFUNCTION("""COMPUTED_VALUE"""),46.07)</f>
        <v>46.07</v>
      </c>
      <c r="J632" s="7"/>
    </row>
    <row r="633">
      <c r="A633" s="7"/>
      <c r="B633" s="7"/>
      <c r="C633" s="7"/>
      <c r="D633" s="7"/>
      <c r="E633" s="7"/>
      <c r="F633" s="7"/>
      <c r="G633" s="7"/>
      <c r="H633" s="15">
        <f>IFERROR(__xludf.DUMMYFUNCTION("""COMPUTED_VALUE"""),43655.66666666667)</f>
        <v>43655.66667</v>
      </c>
      <c r="I633" s="16">
        <f>IFERROR(__xludf.DUMMYFUNCTION("""COMPUTED_VALUE"""),46.01)</f>
        <v>46.01</v>
      </c>
      <c r="J633" s="7"/>
    </row>
    <row r="634">
      <c r="A634" s="7"/>
      <c r="B634" s="7"/>
      <c r="C634" s="7"/>
      <c r="D634" s="7"/>
      <c r="E634" s="7"/>
      <c r="F634" s="7"/>
      <c r="G634" s="7"/>
      <c r="H634" s="15">
        <f>IFERROR(__xludf.DUMMYFUNCTION("""COMPUTED_VALUE"""),43656.66666666667)</f>
        <v>43656.66667</v>
      </c>
      <c r="I634" s="16">
        <f>IFERROR(__xludf.DUMMYFUNCTION("""COMPUTED_VALUE"""),47.78)</f>
        <v>47.78</v>
      </c>
      <c r="J634" s="7"/>
    </row>
    <row r="635">
      <c r="A635" s="7"/>
      <c r="B635" s="7"/>
      <c r="C635" s="7"/>
      <c r="D635" s="7"/>
      <c r="E635" s="7"/>
      <c r="F635" s="7"/>
      <c r="G635" s="7"/>
      <c r="H635" s="15">
        <f>IFERROR(__xludf.DUMMYFUNCTION("""COMPUTED_VALUE"""),43657.66666666667)</f>
        <v>43657.66667</v>
      </c>
      <c r="I635" s="16">
        <f>IFERROR(__xludf.DUMMYFUNCTION("""COMPUTED_VALUE"""),47.72)</f>
        <v>47.72</v>
      </c>
      <c r="J635" s="7"/>
    </row>
    <row r="636">
      <c r="A636" s="7"/>
      <c r="B636" s="7"/>
      <c r="C636" s="7"/>
      <c r="D636" s="7"/>
      <c r="E636" s="7"/>
      <c r="F636" s="7"/>
      <c r="G636" s="7"/>
      <c r="H636" s="15">
        <f>IFERROR(__xludf.DUMMYFUNCTION("""COMPUTED_VALUE"""),43658.66666666667)</f>
        <v>43658.66667</v>
      </c>
      <c r="I636" s="16">
        <f>IFERROR(__xludf.DUMMYFUNCTION("""COMPUTED_VALUE"""),49.02)</f>
        <v>49.02</v>
      </c>
      <c r="J636" s="7"/>
    </row>
    <row r="637">
      <c r="A637" s="7"/>
      <c r="B637" s="7"/>
      <c r="C637" s="7"/>
      <c r="D637" s="7"/>
      <c r="E637" s="7"/>
      <c r="F637" s="7"/>
      <c r="G637" s="7"/>
      <c r="H637" s="15">
        <f>IFERROR(__xludf.DUMMYFUNCTION("""COMPUTED_VALUE"""),43661.66666666667)</f>
        <v>43661.66667</v>
      </c>
      <c r="I637" s="16">
        <f>IFERROR(__xludf.DUMMYFUNCTION("""COMPUTED_VALUE"""),50.7)</f>
        <v>50.7</v>
      </c>
      <c r="J637" s="7"/>
    </row>
    <row r="638">
      <c r="A638" s="7"/>
      <c r="B638" s="7"/>
      <c r="C638" s="7"/>
      <c r="D638" s="7"/>
      <c r="E638" s="7"/>
      <c r="F638" s="7"/>
      <c r="G638" s="7"/>
      <c r="H638" s="15">
        <f>IFERROR(__xludf.DUMMYFUNCTION("""COMPUTED_VALUE"""),43662.66666666667)</f>
        <v>43662.66667</v>
      </c>
      <c r="I638" s="16">
        <f>IFERROR(__xludf.DUMMYFUNCTION("""COMPUTED_VALUE"""),50.48)</f>
        <v>50.48</v>
      </c>
      <c r="J638" s="7"/>
    </row>
    <row r="639">
      <c r="A639" s="7"/>
      <c r="B639" s="7"/>
      <c r="C639" s="7"/>
      <c r="D639" s="7"/>
      <c r="E639" s="7"/>
      <c r="F639" s="7"/>
      <c r="G639" s="7"/>
      <c r="H639" s="15">
        <f>IFERROR(__xludf.DUMMYFUNCTION("""COMPUTED_VALUE"""),43663.66666666667)</f>
        <v>43663.66667</v>
      </c>
      <c r="I639" s="16">
        <f>IFERROR(__xludf.DUMMYFUNCTION("""COMPUTED_VALUE"""),50.97)</f>
        <v>50.97</v>
      </c>
      <c r="J639" s="7"/>
    </row>
    <row r="640">
      <c r="A640" s="7"/>
      <c r="B640" s="7"/>
      <c r="C640" s="7"/>
      <c r="D640" s="7"/>
      <c r="E640" s="7"/>
      <c r="F640" s="7"/>
      <c r="G640" s="7"/>
      <c r="H640" s="15">
        <f>IFERROR(__xludf.DUMMYFUNCTION("""COMPUTED_VALUE"""),43664.66666666667)</f>
        <v>43664.66667</v>
      </c>
      <c r="I640" s="16">
        <f>IFERROR(__xludf.DUMMYFUNCTION("""COMPUTED_VALUE"""),50.71)</f>
        <v>50.71</v>
      </c>
      <c r="J640" s="7"/>
    </row>
    <row r="641">
      <c r="A641" s="7"/>
      <c r="B641" s="7"/>
      <c r="C641" s="7"/>
      <c r="D641" s="7"/>
      <c r="E641" s="7"/>
      <c r="F641" s="7"/>
      <c r="G641" s="7"/>
      <c r="H641" s="15">
        <f>IFERROR(__xludf.DUMMYFUNCTION("""COMPUTED_VALUE"""),43665.66666666667)</f>
        <v>43665.66667</v>
      </c>
      <c r="I641" s="16">
        <f>IFERROR(__xludf.DUMMYFUNCTION("""COMPUTED_VALUE"""),51.64)</f>
        <v>51.64</v>
      </c>
      <c r="J641" s="7"/>
    </row>
    <row r="642">
      <c r="A642" s="7"/>
      <c r="B642" s="7"/>
      <c r="C642" s="7"/>
      <c r="D642" s="7"/>
      <c r="E642" s="7"/>
      <c r="F642" s="7"/>
      <c r="G642" s="7"/>
      <c r="H642" s="15">
        <f>IFERROR(__xludf.DUMMYFUNCTION("""COMPUTED_VALUE"""),43668.66666666667)</f>
        <v>43668.66667</v>
      </c>
      <c r="I642" s="16">
        <f>IFERROR(__xludf.DUMMYFUNCTION("""COMPUTED_VALUE"""),51.14)</f>
        <v>51.14</v>
      </c>
      <c r="J642" s="7"/>
    </row>
    <row r="643">
      <c r="A643" s="7"/>
      <c r="B643" s="7"/>
      <c r="C643" s="7"/>
      <c r="D643" s="7"/>
      <c r="E643" s="7"/>
      <c r="F643" s="7"/>
      <c r="G643" s="7"/>
      <c r="H643" s="15">
        <f>IFERROR(__xludf.DUMMYFUNCTION("""COMPUTED_VALUE"""),43669.66666666667)</f>
        <v>43669.66667</v>
      </c>
      <c r="I643" s="16">
        <f>IFERROR(__xludf.DUMMYFUNCTION("""COMPUTED_VALUE"""),52.03)</f>
        <v>52.03</v>
      </c>
      <c r="J643" s="7"/>
    </row>
    <row r="644">
      <c r="A644" s="7"/>
      <c r="B644" s="7"/>
      <c r="C644" s="7"/>
      <c r="D644" s="7"/>
      <c r="E644" s="7"/>
      <c r="F644" s="7"/>
      <c r="G644" s="7"/>
      <c r="H644" s="15">
        <f>IFERROR(__xludf.DUMMYFUNCTION("""COMPUTED_VALUE"""),43670.66666666667)</f>
        <v>43670.66667</v>
      </c>
      <c r="I644" s="16">
        <f>IFERROR(__xludf.DUMMYFUNCTION("""COMPUTED_VALUE"""),52.98)</f>
        <v>52.98</v>
      </c>
      <c r="J644" s="7"/>
    </row>
    <row r="645">
      <c r="A645" s="7"/>
      <c r="B645" s="7"/>
      <c r="C645" s="7"/>
      <c r="D645" s="7"/>
      <c r="E645" s="7"/>
      <c r="F645" s="7"/>
      <c r="G645" s="7"/>
      <c r="H645" s="15">
        <f>IFERROR(__xludf.DUMMYFUNCTION("""COMPUTED_VALUE"""),43671.66666666667)</f>
        <v>43671.66667</v>
      </c>
      <c r="I645" s="16">
        <f>IFERROR(__xludf.DUMMYFUNCTION("""COMPUTED_VALUE"""),45.76)</f>
        <v>45.76</v>
      </c>
      <c r="J645" s="7"/>
    </row>
    <row r="646">
      <c r="A646" s="7"/>
      <c r="B646" s="7"/>
      <c r="C646" s="7"/>
      <c r="D646" s="7"/>
      <c r="E646" s="7"/>
      <c r="F646" s="7"/>
      <c r="G646" s="7"/>
      <c r="H646" s="15">
        <f>IFERROR(__xludf.DUMMYFUNCTION("""COMPUTED_VALUE"""),43672.66666666667)</f>
        <v>43672.66667</v>
      </c>
      <c r="I646" s="16">
        <f>IFERROR(__xludf.DUMMYFUNCTION("""COMPUTED_VALUE"""),45.61)</f>
        <v>45.61</v>
      </c>
      <c r="J646" s="7"/>
    </row>
    <row r="647">
      <c r="A647" s="7"/>
      <c r="B647" s="7"/>
      <c r="C647" s="7"/>
      <c r="D647" s="7"/>
      <c r="E647" s="7"/>
      <c r="F647" s="7"/>
      <c r="G647" s="7"/>
      <c r="H647" s="15">
        <f>IFERROR(__xludf.DUMMYFUNCTION("""COMPUTED_VALUE"""),43675.66666666667)</f>
        <v>43675.66667</v>
      </c>
      <c r="I647" s="16">
        <f>IFERROR(__xludf.DUMMYFUNCTION("""COMPUTED_VALUE"""),47.15)</f>
        <v>47.15</v>
      </c>
      <c r="J647" s="7"/>
    </row>
    <row r="648">
      <c r="A648" s="7"/>
      <c r="B648" s="7"/>
      <c r="C648" s="7"/>
      <c r="D648" s="7"/>
      <c r="E648" s="7"/>
      <c r="F648" s="7"/>
      <c r="G648" s="7"/>
      <c r="H648" s="15">
        <f>IFERROR(__xludf.DUMMYFUNCTION("""COMPUTED_VALUE"""),43676.66666666667)</f>
        <v>43676.66667</v>
      </c>
      <c r="I648" s="16">
        <f>IFERROR(__xludf.DUMMYFUNCTION("""COMPUTED_VALUE"""),48.45)</f>
        <v>48.45</v>
      </c>
      <c r="J648" s="7"/>
    </row>
    <row r="649">
      <c r="A649" s="7"/>
      <c r="B649" s="7"/>
      <c r="C649" s="7"/>
      <c r="D649" s="7"/>
      <c r="E649" s="7"/>
      <c r="F649" s="7"/>
      <c r="G649" s="7"/>
      <c r="H649" s="15">
        <f>IFERROR(__xludf.DUMMYFUNCTION("""COMPUTED_VALUE"""),43677.66666666667)</f>
        <v>43677.66667</v>
      </c>
      <c r="I649" s="16">
        <f>IFERROR(__xludf.DUMMYFUNCTION("""COMPUTED_VALUE"""),48.32)</f>
        <v>48.32</v>
      </c>
      <c r="J649" s="7"/>
    </row>
    <row r="650">
      <c r="A650" s="7"/>
      <c r="B650" s="7"/>
      <c r="C650" s="7"/>
      <c r="D650" s="7"/>
      <c r="E650" s="7"/>
      <c r="F650" s="7"/>
      <c r="G650" s="7"/>
      <c r="H650" s="15">
        <f>IFERROR(__xludf.DUMMYFUNCTION("""COMPUTED_VALUE"""),43678.66666666667)</f>
        <v>43678.66667</v>
      </c>
      <c r="I650" s="16">
        <f>IFERROR(__xludf.DUMMYFUNCTION("""COMPUTED_VALUE"""),46.77)</f>
        <v>46.77</v>
      </c>
      <c r="J650" s="7"/>
    </row>
    <row r="651">
      <c r="A651" s="7"/>
      <c r="B651" s="7"/>
      <c r="C651" s="7"/>
      <c r="D651" s="7"/>
      <c r="E651" s="7"/>
      <c r="F651" s="7"/>
      <c r="G651" s="7"/>
      <c r="H651" s="15">
        <f>IFERROR(__xludf.DUMMYFUNCTION("""COMPUTED_VALUE"""),43679.66666666667)</f>
        <v>43679.66667</v>
      </c>
      <c r="I651" s="16">
        <f>IFERROR(__xludf.DUMMYFUNCTION("""COMPUTED_VALUE"""),46.87)</f>
        <v>46.87</v>
      </c>
      <c r="J651" s="7"/>
    </row>
    <row r="652">
      <c r="A652" s="7"/>
      <c r="B652" s="7"/>
      <c r="C652" s="7"/>
      <c r="D652" s="7"/>
      <c r="E652" s="7"/>
      <c r="F652" s="7"/>
      <c r="G652" s="7"/>
      <c r="H652" s="15">
        <f>IFERROR(__xludf.DUMMYFUNCTION("""COMPUTED_VALUE"""),43682.66666666667)</f>
        <v>43682.66667</v>
      </c>
      <c r="I652" s="16">
        <f>IFERROR(__xludf.DUMMYFUNCTION("""COMPUTED_VALUE"""),45.66)</f>
        <v>45.66</v>
      </c>
      <c r="J652" s="7"/>
    </row>
    <row r="653">
      <c r="A653" s="7"/>
      <c r="B653" s="7"/>
      <c r="C653" s="7"/>
      <c r="D653" s="7"/>
      <c r="E653" s="7"/>
      <c r="F653" s="7"/>
      <c r="G653" s="7"/>
      <c r="H653" s="15">
        <f>IFERROR(__xludf.DUMMYFUNCTION("""COMPUTED_VALUE"""),43683.66666666667)</f>
        <v>43683.66667</v>
      </c>
      <c r="I653" s="16">
        <f>IFERROR(__xludf.DUMMYFUNCTION("""COMPUTED_VALUE"""),46.15)</f>
        <v>46.15</v>
      </c>
      <c r="J653" s="7"/>
    </row>
    <row r="654">
      <c r="A654" s="7"/>
      <c r="B654" s="7"/>
      <c r="C654" s="7"/>
      <c r="D654" s="7"/>
      <c r="E654" s="7"/>
      <c r="F654" s="7"/>
      <c r="G654" s="7"/>
      <c r="H654" s="15">
        <f>IFERROR(__xludf.DUMMYFUNCTION("""COMPUTED_VALUE"""),43684.66666666667)</f>
        <v>43684.66667</v>
      </c>
      <c r="I654" s="16">
        <f>IFERROR(__xludf.DUMMYFUNCTION("""COMPUTED_VALUE"""),46.68)</f>
        <v>46.68</v>
      </c>
      <c r="J654" s="7"/>
    </row>
    <row r="655">
      <c r="A655" s="7"/>
      <c r="B655" s="7"/>
      <c r="C655" s="7"/>
      <c r="D655" s="7"/>
      <c r="E655" s="7"/>
      <c r="F655" s="7"/>
      <c r="G655" s="7"/>
      <c r="H655" s="15">
        <f>IFERROR(__xludf.DUMMYFUNCTION("""COMPUTED_VALUE"""),43685.66666666667)</f>
        <v>43685.66667</v>
      </c>
      <c r="I655" s="16">
        <f>IFERROR(__xludf.DUMMYFUNCTION("""COMPUTED_VALUE"""),47.66)</f>
        <v>47.66</v>
      </c>
      <c r="J655" s="7"/>
    </row>
    <row r="656">
      <c r="A656" s="7"/>
      <c r="B656" s="7"/>
      <c r="C656" s="7"/>
      <c r="D656" s="7"/>
      <c r="E656" s="7"/>
      <c r="F656" s="7"/>
      <c r="G656" s="7"/>
      <c r="H656" s="15">
        <f>IFERROR(__xludf.DUMMYFUNCTION("""COMPUTED_VALUE"""),43686.66666666667)</f>
        <v>43686.66667</v>
      </c>
      <c r="I656" s="16">
        <f>IFERROR(__xludf.DUMMYFUNCTION("""COMPUTED_VALUE"""),47.0)</f>
        <v>47</v>
      </c>
      <c r="J656" s="7"/>
    </row>
    <row r="657">
      <c r="A657" s="7"/>
      <c r="B657" s="7"/>
      <c r="C657" s="7"/>
      <c r="D657" s="7"/>
      <c r="E657" s="7"/>
      <c r="F657" s="7"/>
      <c r="G657" s="7"/>
      <c r="H657" s="15">
        <f>IFERROR(__xludf.DUMMYFUNCTION("""COMPUTED_VALUE"""),43689.66666666667)</f>
        <v>43689.66667</v>
      </c>
      <c r="I657" s="16">
        <f>IFERROR(__xludf.DUMMYFUNCTION("""COMPUTED_VALUE"""),45.8)</f>
        <v>45.8</v>
      </c>
      <c r="J657" s="7"/>
    </row>
    <row r="658">
      <c r="A658" s="7"/>
      <c r="B658" s="7"/>
      <c r="C658" s="7"/>
      <c r="D658" s="7"/>
      <c r="E658" s="7"/>
      <c r="F658" s="7"/>
      <c r="G658" s="7"/>
      <c r="H658" s="15">
        <f>IFERROR(__xludf.DUMMYFUNCTION("""COMPUTED_VALUE"""),43690.66666666667)</f>
        <v>43690.66667</v>
      </c>
      <c r="I658" s="16">
        <f>IFERROR(__xludf.DUMMYFUNCTION("""COMPUTED_VALUE"""),47.0)</f>
        <v>47</v>
      </c>
      <c r="J658" s="7"/>
    </row>
    <row r="659">
      <c r="A659" s="7"/>
      <c r="B659" s="7"/>
      <c r="C659" s="7"/>
      <c r="D659" s="7"/>
      <c r="E659" s="7"/>
      <c r="F659" s="7"/>
      <c r="G659" s="7"/>
      <c r="H659" s="15">
        <f>IFERROR(__xludf.DUMMYFUNCTION("""COMPUTED_VALUE"""),43691.66666666667)</f>
        <v>43691.66667</v>
      </c>
      <c r="I659" s="16">
        <f>IFERROR(__xludf.DUMMYFUNCTION("""COMPUTED_VALUE"""),43.92)</f>
        <v>43.92</v>
      </c>
      <c r="J659" s="7"/>
    </row>
    <row r="660">
      <c r="A660" s="7"/>
      <c r="B660" s="7"/>
      <c r="C660" s="7"/>
      <c r="D660" s="7"/>
      <c r="E660" s="7"/>
      <c r="F660" s="7"/>
      <c r="G660" s="7"/>
      <c r="H660" s="15">
        <f>IFERROR(__xludf.DUMMYFUNCTION("""COMPUTED_VALUE"""),43692.66666666667)</f>
        <v>43692.66667</v>
      </c>
      <c r="I660" s="16">
        <f>IFERROR(__xludf.DUMMYFUNCTION("""COMPUTED_VALUE"""),43.13)</f>
        <v>43.13</v>
      </c>
      <c r="J660" s="7"/>
    </row>
    <row r="661">
      <c r="A661" s="7"/>
      <c r="B661" s="7"/>
      <c r="C661" s="7"/>
      <c r="D661" s="7"/>
      <c r="E661" s="7"/>
      <c r="F661" s="7"/>
      <c r="G661" s="7"/>
      <c r="H661" s="15">
        <f>IFERROR(__xludf.DUMMYFUNCTION("""COMPUTED_VALUE"""),43693.66666666667)</f>
        <v>43693.66667</v>
      </c>
      <c r="I661" s="16">
        <f>IFERROR(__xludf.DUMMYFUNCTION("""COMPUTED_VALUE"""),43.99)</f>
        <v>43.99</v>
      </c>
      <c r="J661" s="7"/>
    </row>
    <row r="662">
      <c r="A662" s="7"/>
      <c r="B662" s="7"/>
      <c r="C662" s="7"/>
      <c r="D662" s="7"/>
      <c r="E662" s="7"/>
      <c r="F662" s="7"/>
      <c r="G662" s="7"/>
      <c r="H662" s="15">
        <f>IFERROR(__xludf.DUMMYFUNCTION("""COMPUTED_VALUE"""),43696.66666666667)</f>
        <v>43696.66667</v>
      </c>
      <c r="I662" s="16">
        <f>IFERROR(__xludf.DUMMYFUNCTION("""COMPUTED_VALUE"""),45.37)</f>
        <v>45.37</v>
      </c>
      <c r="J662" s="7"/>
    </row>
    <row r="663">
      <c r="A663" s="7"/>
      <c r="B663" s="7"/>
      <c r="C663" s="7"/>
      <c r="D663" s="7"/>
      <c r="E663" s="7"/>
      <c r="F663" s="7"/>
      <c r="G663" s="7"/>
      <c r="H663" s="15">
        <f>IFERROR(__xludf.DUMMYFUNCTION("""COMPUTED_VALUE"""),43697.66666666667)</f>
        <v>43697.66667</v>
      </c>
      <c r="I663" s="16">
        <f>IFERROR(__xludf.DUMMYFUNCTION("""COMPUTED_VALUE"""),45.17)</f>
        <v>45.17</v>
      </c>
      <c r="J663" s="7"/>
    </row>
    <row r="664">
      <c r="A664" s="7"/>
      <c r="B664" s="7"/>
      <c r="C664" s="7"/>
      <c r="D664" s="7"/>
      <c r="E664" s="7"/>
      <c r="F664" s="7"/>
      <c r="G664" s="7"/>
      <c r="H664" s="15">
        <f>IFERROR(__xludf.DUMMYFUNCTION("""COMPUTED_VALUE"""),43698.66666666667)</f>
        <v>43698.66667</v>
      </c>
      <c r="I664" s="16">
        <f>IFERROR(__xludf.DUMMYFUNCTION("""COMPUTED_VALUE"""),44.17)</f>
        <v>44.17</v>
      </c>
      <c r="J664" s="7"/>
    </row>
    <row r="665">
      <c r="A665" s="7"/>
      <c r="B665" s="7"/>
      <c r="C665" s="7"/>
      <c r="D665" s="7"/>
      <c r="E665" s="7"/>
      <c r="F665" s="7"/>
      <c r="G665" s="7"/>
      <c r="H665" s="15">
        <f>IFERROR(__xludf.DUMMYFUNCTION("""COMPUTED_VALUE"""),43699.66666666667)</f>
        <v>43699.66667</v>
      </c>
      <c r="I665" s="16">
        <f>IFERROR(__xludf.DUMMYFUNCTION("""COMPUTED_VALUE"""),44.43)</f>
        <v>44.43</v>
      </c>
      <c r="J665" s="7"/>
    </row>
    <row r="666">
      <c r="A666" s="7"/>
      <c r="B666" s="7"/>
      <c r="C666" s="7"/>
      <c r="D666" s="7"/>
      <c r="E666" s="7"/>
      <c r="F666" s="7"/>
      <c r="G666" s="7"/>
      <c r="H666" s="15">
        <f>IFERROR(__xludf.DUMMYFUNCTION("""COMPUTED_VALUE"""),43700.66666666667)</f>
        <v>43700.66667</v>
      </c>
      <c r="I666" s="16">
        <f>IFERROR(__xludf.DUMMYFUNCTION("""COMPUTED_VALUE"""),42.28)</f>
        <v>42.28</v>
      </c>
      <c r="J666" s="7"/>
    </row>
    <row r="667">
      <c r="A667" s="7"/>
      <c r="B667" s="7"/>
      <c r="C667" s="7"/>
      <c r="D667" s="7"/>
      <c r="E667" s="7"/>
      <c r="F667" s="7"/>
      <c r="G667" s="7"/>
      <c r="H667" s="15">
        <f>IFERROR(__xludf.DUMMYFUNCTION("""COMPUTED_VALUE"""),43703.66666666667)</f>
        <v>43703.66667</v>
      </c>
      <c r="I667" s="16">
        <f>IFERROR(__xludf.DUMMYFUNCTION("""COMPUTED_VALUE"""),43.0)</f>
        <v>43</v>
      </c>
      <c r="J667" s="7"/>
    </row>
    <row r="668">
      <c r="A668" s="7"/>
      <c r="B668" s="7"/>
      <c r="C668" s="7"/>
      <c r="D668" s="7"/>
      <c r="E668" s="7"/>
      <c r="F668" s="7"/>
      <c r="G668" s="7"/>
      <c r="H668" s="15">
        <f>IFERROR(__xludf.DUMMYFUNCTION("""COMPUTED_VALUE"""),43704.66666666667)</f>
        <v>43704.66667</v>
      </c>
      <c r="I668" s="16">
        <f>IFERROR(__xludf.DUMMYFUNCTION("""COMPUTED_VALUE"""),42.82)</f>
        <v>42.82</v>
      </c>
      <c r="J668" s="7"/>
    </row>
    <row r="669">
      <c r="A669" s="7"/>
      <c r="B669" s="7"/>
      <c r="C669" s="7"/>
      <c r="D669" s="7"/>
      <c r="E669" s="7"/>
      <c r="F669" s="7"/>
      <c r="G669" s="7"/>
      <c r="H669" s="15">
        <f>IFERROR(__xludf.DUMMYFUNCTION("""COMPUTED_VALUE"""),43705.66666666667)</f>
        <v>43705.66667</v>
      </c>
      <c r="I669" s="16">
        <f>IFERROR(__xludf.DUMMYFUNCTION("""COMPUTED_VALUE"""),43.12)</f>
        <v>43.12</v>
      </c>
      <c r="J669" s="7"/>
    </row>
    <row r="670">
      <c r="A670" s="7"/>
      <c r="B670" s="7"/>
      <c r="C670" s="7"/>
      <c r="D670" s="7"/>
      <c r="E670" s="7"/>
      <c r="F670" s="7"/>
      <c r="G670" s="7"/>
      <c r="H670" s="15">
        <f>IFERROR(__xludf.DUMMYFUNCTION("""COMPUTED_VALUE"""),43706.66666666667)</f>
        <v>43706.66667</v>
      </c>
      <c r="I670" s="16">
        <f>IFERROR(__xludf.DUMMYFUNCTION("""COMPUTED_VALUE"""),44.34)</f>
        <v>44.34</v>
      </c>
      <c r="J670" s="7"/>
    </row>
    <row r="671">
      <c r="A671" s="7"/>
      <c r="B671" s="7"/>
      <c r="C671" s="7"/>
      <c r="D671" s="7"/>
      <c r="E671" s="7"/>
      <c r="F671" s="7"/>
      <c r="G671" s="7"/>
      <c r="H671" s="15">
        <f>IFERROR(__xludf.DUMMYFUNCTION("""COMPUTED_VALUE"""),43707.66666666667)</f>
        <v>43707.66667</v>
      </c>
      <c r="I671" s="16">
        <f>IFERROR(__xludf.DUMMYFUNCTION("""COMPUTED_VALUE"""),45.12)</f>
        <v>45.12</v>
      </c>
      <c r="J671" s="7"/>
    </row>
    <row r="672">
      <c r="A672" s="7"/>
      <c r="B672" s="7"/>
      <c r="C672" s="7"/>
      <c r="D672" s="7"/>
      <c r="E672" s="7"/>
      <c r="F672" s="7"/>
      <c r="G672" s="7"/>
      <c r="H672" s="15">
        <f>IFERROR(__xludf.DUMMYFUNCTION("""COMPUTED_VALUE"""),43711.66666666667)</f>
        <v>43711.66667</v>
      </c>
      <c r="I672" s="16">
        <f>IFERROR(__xludf.DUMMYFUNCTION("""COMPUTED_VALUE"""),45.0)</f>
        <v>45</v>
      </c>
      <c r="J672" s="7"/>
    </row>
    <row r="673">
      <c r="A673" s="7"/>
      <c r="B673" s="7"/>
      <c r="C673" s="7"/>
      <c r="D673" s="7"/>
      <c r="E673" s="7"/>
      <c r="F673" s="7"/>
      <c r="G673" s="7"/>
      <c r="H673" s="15">
        <f>IFERROR(__xludf.DUMMYFUNCTION("""COMPUTED_VALUE"""),43712.66666666667)</f>
        <v>43712.66667</v>
      </c>
      <c r="I673" s="16">
        <f>IFERROR(__xludf.DUMMYFUNCTION("""COMPUTED_VALUE"""),44.14)</f>
        <v>44.14</v>
      </c>
      <c r="J673" s="7"/>
    </row>
    <row r="674">
      <c r="A674" s="7"/>
      <c r="B674" s="7"/>
      <c r="C674" s="7"/>
      <c r="D674" s="7"/>
      <c r="E674" s="7"/>
      <c r="F674" s="7"/>
      <c r="G674" s="7"/>
      <c r="H674" s="15">
        <f>IFERROR(__xludf.DUMMYFUNCTION("""COMPUTED_VALUE"""),43713.66666666667)</f>
        <v>43713.66667</v>
      </c>
      <c r="I674" s="16">
        <f>IFERROR(__xludf.DUMMYFUNCTION("""COMPUTED_VALUE"""),45.92)</f>
        <v>45.92</v>
      </c>
      <c r="J674" s="7"/>
    </row>
    <row r="675">
      <c r="A675" s="7"/>
      <c r="B675" s="7"/>
      <c r="C675" s="7"/>
      <c r="D675" s="7"/>
      <c r="E675" s="7"/>
      <c r="F675" s="7"/>
      <c r="G675" s="7"/>
      <c r="H675" s="15">
        <f>IFERROR(__xludf.DUMMYFUNCTION("""COMPUTED_VALUE"""),43714.66666666667)</f>
        <v>43714.66667</v>
      </c>
      <c r="I675" s="16">
        <f>IFERROR(__xludf.DUMMYFUNCTION("""COMPUTED_VALUE"""),45.49)</f>
        <v>45.49</v>
      </c>
      <c r="J675" s="7"/>
    </row>
    <row r="676">
      <c r="A676" s="7"/>
      <c r="B676" s="7"/>
      <c r="C676" s="7"/>
      <c r="D676" s="7"/>
      <c r="E676" s="7"/>
      <c r="F676" s="7"/>
      <c r="G676" s="7"/>
      <c r="H676" s="15">
        <f>IFERROR(__xludf.DUMMYFUNCTION("""COMPUTED_VALUE"""),43717.66666666667)</f>
        <v>43717.66667</v>
      </c>
      <c r="I676" s="16">
        <f>IFERROR(__xludf.DUMMYFUNCTION("""COMPUTED_VALUE"""),46.36)</f>
        <v>46.36</v>
      </c>
      <c r="J676" s="7"/>
    </row>
    <row r="677">
      <c r="A677" s="7"/>
      <c r="B677" s="7"/>
      <c r="C677" s="7"/>
      <c r="D677" s="7"/>
      <c r="E677" s="7"/>
      <c r="F677" s="7"/>
      <c r="G677" s="7"/>
      <c r="H677" s="15">
        <f>IFERROR(__xludf.DUMMYFUNCTION("""COMPUTED_VALUE"""),43718.66666666667)</f>
        <v>43718.66667</v>
      </c>
      <c r="I677" s="16">
        <f>IFERROR(__xludf.DUMMYFUNCTION("""COMPUTED_VALUE"""),47.11)</f>
        <v>47.11</v>
      </c>
      <c r="J677" s="7"/>
    </row>
    <row r="678">
      <c r="A678" s="7"/>
      <c r="B678" s="7"/>
      <c r="C678" s="7"/>
      <c r="D678" s="7"/>
      <c r="E678" s="7"/>
      <c r="F678" s="7"/>
      <c r="G678" s="7"/>
      <c r="H678" s="15">
        <f>IFERROR(__xludf.DUMMYFUNCTION("""COMPUTED_VALUE"""),43719.66666666667)</f>
        <v>43719.66667</v>
      </c>
      <c r="I678" s="16">
        <f>IFERROR(__xludf.DUMMYFUNCTION("""COMPUTED_VALUE"""),49.42)</f>
        <v>49.42</v>
      </c>
      <c r="J678" s="7"/>
    </row>
    <row r="679">
      <c r="A679" s="7"/>
      <c r="B679" s="7"/>
      <c r="C679" s="7"/>
      <c r="D679" s="7"/>
      <c r="E679" s="7"/>
      <c r="F679" s="7"/>
      <c r="G679" s="7"/>
      <c r="H679" s="15">
        <f>IFERROR(__xludf.DUMMYFUNCTION("""COMPUTED_VALUE"""),43720.66666666667)</f>
        <v>43720.66667</v>
      </c>
      <c r="I679" s="16">
        <f>IFERROR(__xludf.DUMMYFUNCTION("""COMPUTED_VALUE"""),49.17)</f>
        <v>49.17</v>
      </c>
      <c r="J679" s="7"/>
    </row>
    <row r="680">
      <c r="A680" s="7"/>
      <c r="B680" s="7"/>
      <c r="C680" s="7"/>
      <c r="D680" s="7"/>
      <c r="E680" s="7"/>
      <c r="F680" s="7"/>
      <c r="G680" s="7"/>
      <c r="H680" s="15">
        <f>IFERROR(__xludf.DUMMYFUNCTION("""COMPUTED_VALUE"""),43721.66666666667)</f>
        <v>43721.66667</v>
      </c>
      <c r="I680" s="16">
        <f>IFERROR(__xludf.DUMMYFUNCTION("""COMPUTED_VALUE"""),49.04)</f>
        <v>49.04</v>
      </c>
      <c r="J680" s="7"/>
    </row>
    <row r="681">
      <c r="A681" s="7"/>
      <c r="B681" s="7"/>
      <c r="C681" s="7"/>
      <c r="D681" s="7"/>
      <c r="E681" s="7"/>
      <c r="F681" s="7"/>
      <c r="G681" s="7"/>
      <c r="H681" s="15">
        <f>IFERROR(__xludf.DUMMYFUNCTION("""COMPUTED_VALUE"""),43724.66666666667)</f>
        <v>43724.66667</v>
      </c>
      <c r="I681" s="16">
        <f>IFERROR(__xludf.DUMMYFUNCTION("""COMPUTED_VALUE"""),48.56)</f>
        <v>48.56</v>
      </c>
      <c r="J681" s="7"/>
    </row>
    <row r="682">
      <c r="A682" s="7"/>
      <c r="B682" s="7"/>
      <c r="C682" s="7"/>
      <c r="D682" s="7"/>
      <c r="E682" s="7"/>
      <c r="F682" s="7"/>
      <c r="G682" s="7"/>
      <c r="H682" s="15">
        <f>IFERROR(__xludf.DUMMYFUNCTION("""COMPUTED_VALUE"""),43725.66666666667)</f>
        <v>43725.66667</v>
      </c>
      <c r="I682" s="16">
        <f>IFERROR(__xludf.DUMMYFUNCTION("""COMPUTED_VALUE"""),48.96)</f>
        <v>48.96</v>
      </c>
      <c r="J682" s="7"/>
    </row>
    <row r="683">
      <c r="A683" s="7"/>
      <c r="B683" s="7"/>
      <c r="C683" s="7"/>
      <c r="D683" s="7"/>
      <c r="E683" s="7"/>
      <c r="F683" s="7"/>
      <c r="G683" s="7"/>
      <c r="H683" s="15">
        <f>IFERROR(__xludf.DUMMYFUNCTION("""COMPUTED_VALUE"""),43726.66666666667)</f>
        <v>43726.66667</v>
      </c>
      <c r="I683" s="16">
        <f>IFERROR(__xludf.DUMMYFUNCTION("""COMPUTED_VALUE"""),48.7)</f>
        <v>48.7</v>
      </c>
      <c r="J683" s="7"/>
    </row>
    <row r="684">
      <c r="A684" s="7"/>
      <c r="B684" s="7"/>
      <c r="C684" s="7"/>
      <c r="D684" s="7"/>
      <c r="E684" s="7"/>
      <c r="F684" s="7"/>
      <c r="G684" s="7"/>
      <c r="H684" s="15">
        <f>IFERROR(__xludf.DUMMYFUNCTION("""COMPUTED_VALUE"""),43727.66666666667)</f>
        <v>43727.66667</v>
      </c>
      <c r="I684" s="16">
        <f>IFERROR(__xludf.DUMMYFUNCTION("""COMPUTED_VALUE"""),49.32)</f>
        <v>49.32</v>
      </c>
      <c r="J684" s="7"/>
    </row>
    <row r="685">
      <c r="A685" s="7"/>
      <c r="B685" s="7"/>
      <c r="C685" s="7"/>
      <c r="D685" s="7"/>
      <c r="E685" s="7"/>
      <c r="F685" s="7"/>
      <c r="G685" s="7"/>
      <c r="H685" s="15">
        <f>IFERROR(__xludf.DUMMYFUNCTION("""COMPUTED_VALUE"""),43728.66666666667)</f>
        <v>43728.66667</v>
      </c>
      <c r="I685" s="16">
        <f>IFERROR(__xludf.DUMMYFUNCTION("""COMPUTED_VALUE"""),48.12)</f>
        <v>48.12</v>
      </c>
      <c r="J685" s="7"/>
    </row>
    <row r="686">
      <c r="A686" s="7"/>
      <c r="B686" s="7"/>
      <c r="C686" s="7"/>
      <c r="D686" s="7"/>
      <c r="E686" s="7"/>
      <c r="F686" s="7"/>
      <c r="G686" s="7"/>
      <c r="H686" s="15">
        <f>IFERROR(__xludf.DUMMYFUNCTION("""COMPUTED_VALUE"""),43731.66666666667)</f>
        <v>43731.66667</v>
      </c>
      <c r="I686" s="16">
        <f>IFERROR(__xludf.DUMMYFUNCTION("""COMPUTED_VALUE"""),48.25)</f>
        <v>48.25</v>
      </c>
      <c r="J686" s="7"/>
    </row>
    <row r="687">
      <c r="A687" s="7"/>
      <c r="B687" s="7"/>
      <c r="C687" s="7"/>
      <c r="D687" s="7"/>
      <c r="E687" s="7"/>
      <c r="F687" s="7"/>
      <c r="G687" s="7"/>
      <c r="H687" s="15">
        <f>IFERROR(__xludf.DUMMYFUNCTION("""COMPUTED_VALUE"""),43732.66666666667)</f>
        <v>43732.66667</v>
      </c>
      <c r="I687" s="16">
        <f>IFERROR(__xludf.DUMMYFUNCTION("""COMPUTED_VALUE"""),44.64)</f>
        <v>44.64</v>
      </c>
      <c r="J687" s="7"/>
    </row>
    <row r="688">
      <c r="A688" s="7"/>
      <c r="B688" s="7"/>
      <c r="C688" s="7"/>
      <c r="D688" s="7"/>
      <c r="E688" s="7"/>
      <c r="F688" s="7"/>
      <c r="G688" s="7"/>
      <c r="H688" s="15">
        <f>IFERROR(__xludf.DUMMYFUNCTION("""COMPUTED_VALUE"""),43733.66666666667)</f>
        <v>43733.66667</v>
      </c>
      <c r="I688" s="16">
        <f>IFERROR(__xludf.DUMMYFUNCTION("""COMPUTED_VALUE"""),45.74)</f>
        <v>45.74</v>
      </c>
      <c r="J688" s="7"/>
    </row>
    <row r="689">
      <c r="A689" s="7"/>
      <c r="B689" s="7"/>
      <c r="C689" s="7"/>
      <c r="D689" s="7"/>
      <c r="E689" s="7"/>
      <c r="F689" s="7"/>
      <c r="G689" s="7"/>
      <c r="H689" s="15">
        <f>IFERROR(__xludf.DUMMYFUNCTION("""COMPUTED_VALUE"""),43734.66666666667)</f>
        <v>43734.66667</v>
      </c>
      <c r="I689" s="16">
        <f>IFERROR(__xludf.DUMMYFUNCTION("""COMPUTED_VALUE"""),48.51)</f>
        <v>48.51</v>
      </c>
      <c r="J689" s="7"/>
    </row>
    <row r="690">
      <c r="A690" s="7"/>
      <c r="B690" s="7"/>
      <c r="C690" s="7"/>
      <c r="D690" s="7"/>
      <c r="E690" s="7"/>
      <c r="F690" s="7"/>
      <c r="G690" s="7"/>
      <c r="H690" s="15">
        <f>IFERROR(__xludf.DUMMYFUNCTION("""COMPUTED_VALUE"""),43735.66666666667)</f>
        <v>43735.66667</v>
      </c>
      <c r="I690" s="16">
        <f>IFERROR(__xludf.DUMMYFUNCTION("""COMPUTED_VALUE"""),48.43)</f>
        <v>48.43</v>
      </c>
      <c r="J690" s="7"/>
    </row>
    <row r="691">
      <c r="A691" s="7"/>
      <c r="B691" s="7"/>
      <c r="C691" s="7"/>
      <c r="D691" s="7"/>
      <c r="E691" s="7"/>
      <c r="F691" s="7"/>
      <c r="G691" s="7"/>
      <c r="H691" s="15">
        <f>IFERROR(__xludf.DUMMYFUNCTION("""COMPUTED_VALUE"""),43738.66666666667)</f>
        <v>43738.66667</v>
      </c>
      <c r="I691" s="16">
        <f>IFERROR(__xludf.DUMMYFUNCTION("""COMPUTED_VALUE"""),48.17)</f>
        <v>48.17</v>
      </c>
      <c r="J691" s="7"/>
    </row>
    <row r="692">
      <c r="A692" s="7"/>
      <c r="B692" s="7"/>
      <c r="C692" s="7"/>
      <c r="D692" s="7"/>
      <c r="E692" s="7"/>
      <c r="F692" s="7"/>
      <c r="G692" s="7"/>
      <c r="H692" s="15">
        <f>IFERROR(__xludf.DUMMYFUNCTION("""COMPUTED_VALUE"""),43739.66666666667)</f>
        <v>43739.66667</v>
      </c>
      <c r="I692" s="16">
        <f>IFERROR(__xludf.DUMMYFUNCTION("""COMPUTED_VALUE"""),48.94)</f>
        <v>48.94</v>
      </c>
      <c r="J692" s="7"/>
    </row>
    <row r="693">
      <c r="A693" s="7"/>
      <c r="B693" s="7"/>
      <c r="C693" s="7"/>
      <c r="D693" s="7"/>
      <c r="E693" s="7"/>
      <c r="F693" s="7"/>
      <c r="G693" s="7"/>
      <c r="H693" s="15">
        <f>IFERROR(__xludf.DUMMYFUNCTION("""COMPUTED_VALUE"""),43740.66666666667)</f>
        <v>43740.66667</v>
      </c>
      <c r="I693" s="16">
        <f>IFERROR(__xludf.DUMMYFUNCTION("""COMPUTED_VALUE"""),48.63)</f>
        <v>48.63</v>
      </c>
      <c r="J693" s="7"/>
    </row>
    <row r="694">
      <c r="A694" s="7"/>
      <c r="B694" s="7"/>
      <c r="C694" s="7"/>
      <c r="D694" s="7"/>
      <c r="E694" s="7"/>
      <c r="F694" s="7"/>
      <c r="G694" s="7"/>
      <c r="H694" s="15">
        <f>IFERROR(__xludf.DUMMYFUNCTION("""COMPUTED_VALUE"""),43741.66666666667)</f>
        <v>43741.66667</v>
      </c>
      <c r="I694" s="16">
        <f>IFERROR(__xludf.DUMMYFUNCTION("""COMPUTED_VALUE"""),46.61)</f>
        <v>46.61</v>
      </c>
      <c r="J694" s="7"/>
    </row>
    <row r="695">
      <c r="A695" s="7"/>
      <c r="B695" s="7"/>
      <c r="C695" s="7"/>
      <c r="D695" s="7"/>
      <c r="E695" s="7"/>
      <c r="F695" s="7"/>
      <c r="G695" s="7"/>
      <c r="H695" s="15">
        <f>IFERROR(__xludf.DUMMYFUNCTION("""COMPUTED_VALUE"""),43742.66666666667)</f>
        <v>43742.66667</v>
      </c>
      <c r="I695" s="16">
        <f>IFERROR(__xludf.DUMMYFUNCTION("""COMPUTED_VALUE"""),46.29)</f>
        <v>46.29</v>
      </c>
      <c r="J695" s="7"/>
    </row>
    <row r="696">
      <c r="A696" s="7"/>
      <c r="B696" s="7"/>
      <c r="C696" s="7"/>
      <c r="D696" s="7"/>
      <c r="E696" s="7"/>
      <c r="F696" s="7"/>
      <c r="G696" s="7"/>
      <c r="H696" s="15">
        <f>IFERROR(__xludf.DUMMYFUNCTION("""COMPUTED_VALUE"""),43745.66666666667)</f>
        <v>43745.66667</v>
      </c>
      <c r="I696" s="16">
        <f>IFERROR(__xludf.DUMMYFUNCTION("""COMPUTED_VALUE"""),47.54)</f>
        <v>47.54</v>
      </c>
      <c r="J696" s="7"/>
    </row>
    <row r="697">
      <c r="A697" s="7"/>
      <c r="B697" s="7"/>
      <c r="C697" s="7"/>
      <c r="D697" s="7"/>
      <c r="E697" s="7"/>
      <c r="F697" s="7"/>
      <c r="G697" s="7"/>
      <c r="H697" s="15">
        <f>IFERROR(__xludf.DUMMYFUNCTION("""COMPUTED_VALUE"""),43746.66666666667)</f>
        <v>43746.66667</v>
      </c>
      <c r="I697" s="16">
        <f>IFERROR(__xludf.DUMMYFUNCTION("""COMPUTED_VALUE"""),48.01)</f>
        <v>48.01</v>
      </c>
      <c r="J697" s="7"/>
    </row>
    <row r="698">
      <c r="A698" s="7"/>
      <c r="B698" s="7"/>
      <c r="C698" s="7"/>
      <c r="D698" s="7"/>
      <c r="E698" s="7"/>
      <c r="F698" s="7"/>
      <c r="G698" s="7"/>
      <c r="H698" s="15">
        <f>IFERROR(__xludf.DUMMYFUNCTION("""COMPUTED_VALUE"""),43747.66666666667)</f>
        <v>43747.66667</v>
      </c>
      <c r="I698" s="16">
        <f>IFERROR(__xludf.DUMMYFUNCTION("""COMPUTED_VALUE"""),48.91)</f>
        <v>48.91</v>
      </c>
      <c r="J698" s="7"/>
    </row>
    <row r="699">
      <c r="A699" s="7"/>
      <c r="B699" s="7"/>
      <c r="C699" s="7"/>
      <c r="D699" s="7"/>
      <c r="E699" s="7"/>
      <c r="F699" s="7"/>
      <c r="G699" s="7"/>
      <c r="H699" s="15">
        <f>IFERROR(__xludf.DUMMYFUNCTION("""COMPUTED_VALUE"""),43748.66666666667)</f>
        <v>43748.66667</v>
      </c>
      <c r="I699" s="16">
        <f>IFERROR(__xludf.DUMMYFUNCTION("""COMPUTED_VALUE"""),48.95)</f>
        <v>48.95</v>
      </c>
      <c r="J699" s="7"/>
    </row>
    <row r="700">
      <c r="A700" s="7"/>
      <c r="B700" s="7"/>
      <c r="C700" s="7"/>
      <c r="D700" s="7"/>
      <c r="E700" s="7"/>
      <c r="F700" s="7"/>
      <c r="G700" s="7"/>
      <c r="H700" s="15">
        <f>IFERROR(__xludf.DUMMYFUNCTION("""COMPUTED_VALUE"""),43749.66666666667)</f>
        <v>43749.66667</v>
      </c>
      <c r="I700" s="16">
        <f>IFERROR(__xludf.DUMMYFUNCTION("""COMPUTED_VALUE"""),49.58)</f>
        <v>49.58</v>
      </c>
      <c r="J700" s="7"/>
    </row>
    <row r="701">
      <c r="A701" s="7"/>
      <c r="B701" s="7"/>
      <c r="C701" s="7"/>
      <c r="D701" s="7"/>
      <c r="E701" s="7"/>
      <c r="F701" s="7"/>
      <c r="G701" s="7"/>
      <c r="H701" s="15">
        <f>IFERROR(__xludf.DUMMYFUNCTION("""COMPUTED_VALUE"""),43752.66666666667)</f>
        <v>43752.66667</v>
      </c>
      <c r="I701" s="16">
        <f>IFERROR(__xludf.DUMMYFUNCTION("""COMPUTED_VALUE"""),51.39)</f>
        <v>51.39</v>
      </c>
      <c r="J701" s="7"/>
    </row>
    <row r="702">
      <c r="A702" s="7"/>
      <c r="B702" s="7"/>
      <c r="C702" s="7"/>
      <c r="D702" s="7"/>
      <c r="E702" s="7"/>
      <c r="F702" s="7"/>
      <c r="G702" s="7"/>
      <c r="H702" s="15">
        <f>IFERROR(__xludf.DUMMYFUNCTION("""COMPUTED_VALUE"""),43753.66666666667)</f>
        <v>43753.66667</v>
      </c>
      <c r="I702" s="16">
        <f>IFERROR(__xludf.DUMMYFUNCTION("""COMPUTED_VALUE"""),51.58)</f>
        <v>51.58</v>
      </c>
      <c r="J702" s="7"/>
    </row>
    <row r="703">
      <c r="A703" s="7"/>
      <c r="B703" s="7"/>
      <c r="C703" s="7"/>
      <c r="D703" s="7"/>
      <c r="E703" s="7"/>
      <c r="F703" s="7"/>
      <c r="G703" s="7"/>
      <c r="H703" s="15">
        <f>IFERROR(__xludf.DUMMYFUNCTION("""COMPUTED_VALUE"""),43754.66666666667)</f>
        <v>43754.66667</v>
      </c>
      <c r="I703" s="16">
        <f>IFERROR(__xludf.DUMMYFUNCTION("""COMPUTED_VALUE"""),51.95)</f>
        <v>51.95</v>
      </c>
      <c r="J703" s="7"/>
    </row>
    <row r="704">
      <c r="A704" s="7"/>
      <c r="B704" s="7"/>
      <c r="C704" s="7"/>
      <c r="D704" s="7"/>
      <c r="E704" s="7"/>
      <c r="F704" s="7"/>
      <c r="G704" s="7"/>
      <c r="H704" s="15">
        <f>IFERROR(__xludf.DUMMYFUNCTION("""COMPUTED_VALUE"""),43755.66666666667)</f>
        <v>43755.66667</v>
      </c>
      <c r="I704" s="16">
        <f>IFERROR(__xludf.DUMMYFUNCTION("""COMPUTED_VALUE"""),52.39)</f>
        <v>52.39</v>
      </c>
      <c r="J704" s="7"/>
    </row>
    <row r="705">
      <c r="A705" s="7"/>
      <c r="B705" s="7"/>
      <c r="C705" s="7"/>
      <c r="D705" s="7"/>
      <c r="E705" s="7"/>
      <c r="F705" s="7"/>
      <c r="G705" s="7"/>
      <c r="H705" s="15">
        <f>IFERROR(__xludf.DUMMYFUNCTION("""COMPUTED_VALUE"""),43756.66666666667)</f>
        <v>43756.66667</v>
      </c>
      <c r="I705" s="16">
        <f>IFERROR(__xludf.DUMMYFUNCTION("""COMPUTED_VALUE"""),51.39)</f>
        <v>51.39</v>
      </c>
      <c r="J705" s="7"/>
    </row>
    <row r="706">
      <c r="A706" s="7"/>
      <c r="B706" s="7"/>
      <c r="C706" s="7"/>
      <c r="D706" s="7"/>
      <c r="E706" s="7"/>
      <c r="F706" s="7"/>
      <c r="G706" s="7"/>
      <c r="H706" s="15">
        <f>IFERROR(__xludf.DUMMYFUNCTION("""COMPUTED_VALUE"""),43759.66666666667)</f>
        <v>43759.66667</v>
      </c>
      <c r="I706" s="16">
        <f>IFERROR(__xludf.DUMMYFUNCTION("""COMPUTED_VALUE"""),50.7)</f>
        <v>50.7</v>
      </c>
      <c r="J706" s="7"/>
    </row>
    <row r="707">
      <c r="A707" s="7"/>
      <c r="B707" s="7"/>
      <c r="C707" s="7"/>
      <c r="D707" s="7"/>
      <c r="E707" s="7"/>
      <c r="F707" s="7"/>
      <c r="G707" s="7"/>
      <c r="H707" s="15">
        <f>IFERROR(__xludf.DUMMYFUNCTION("""COMPUTED_VALUE"""),43760.66666666667)</f>
        <v>43760.66667</v>
      </c>
      <c r="I707" s="16">
        <f>IFERROR(__xludf.DUMMYFUNCTION("""COMPUTED_VALUE"""),51.12)</f>
        <v>51.12</v>
      </c>
      <c r="J707" s="7"/>
    </row>
    <row r="708">
      <c r="A708" s="7"/>
      <c r="B708" s="7"/>
      <c r="C708" s="7"/>
      <c r="D708" s="7"/>
      <c r="E708" s="7"/>
      <c r="F708" s="7"/>
      <c r="G708" s="7"/>
      <c r="H708" s="15">
        <f>IFERROR(__xludf.DUMMYFUNCTION("""COMPUTED_VALUE"""),43761.66666666667)</f>
        <v>43761.66667</v>
      </c>
      <c r="I708" s="16">
        <f>IFERROR(__xludf.DUMMYFUNCTION("""COMPUTED_VALUE"""),50.94)</f>
        <v>50.94</v>
      </c>
      <c r="J708" s="7"/>
    </row>
    <row r="709">
      <c r="A709" s="7"/>
      <c r="B709" s="7"/>
      <c r="C709" s="7"/>
      <c r="D709" s="7"/>
      <c r="E709" s="7"/>
      <c r="F709" s="7"/>
      <c r="G709" s="7"/>
      <c r="H709" s="15">
        <f>IFERROR(__xludf.DUMMYFUNCTION("""COMPUTED_VALUE"""),43762.66666666667)</f>
        <v>43762.66667</v>
      </c>
      <c r="I709" s="16">
        <f>IFERROR(__xludf.DUMMYFUNCTION("""COMPUTED_VALUE"""),59.94)</f>
        <v>59.94</v>
      </c>
      <c r="J709" s="7"/>
    </row>
    <row r="710">
      <c r="A710" s="7"/>
      <c r="B710" s="7"/>
      <c r="C710" s="7"/>
      <c r="D710" s="7"/>
      <c r="E710" s="7"/>
      <c r="F710" s="7"/>
      <c r="G710" s="7"/>
      <c r="H710" s="15">
        <f>IFERROR(__xludf.DUMMYFUNCTION("""COMPUTED_VALUE"""),43763.66666666667)</f>
        <v>43763.66667</v>
      </c>
      <c r="I710" s="16">
        <f>IFERROR(__xludf.DUMMYFUNCTION("""COMPUTED_VALUE"""),65.63)</f>
        <v>65.63</v>
      </c>
      <c r="J710" s="7"/>
    </row>
    <row r="711">
      <c r="A711" s="7"/>
      <c r="B711" s="7"/>
      <c r="C711" s="7"/>
      <c r="D711" s="7"/>
      <c r="E711" s="7"/>
      <c r="F711" s="7"/>
      <c r="G711" s="7"/>
      <c r="H711" s="15">
        <f>IFERROR(__xludf.DUMMYFUNCTION("""COMPUTED_VALUE"""),43766.66666666667)</f>
        <v>43766.66667</v>
      </c>
      <c r="I711" s="16">
        <f>IFERROR(__xludf.DUMMYFUNCTION("""COMPUTED_VALUE"""),65.54)</f>
        <v>65.54</v>
      </c>
      <c r="J711" s="7"/>
    </row>
    <row r="712">
      <c r="A712" s="7"/>
      <c r="B712" s="7"/>
      <c r="C712" s="7"/>
      <c r="D712" s="7"/>
      <c r="E712" s="7"/>
      <c r="F712" s="7"/>
      <c r="G712" s="7"/>
      <c r="H712" s="15">
        <f>IFERROR(__xludf.DUMMYFUNCTION("""COMPUTED_VALUE"""),43767.66666666667)</f>
        <v>43767.66667</v>
      </c>
      <c r="I712" s="16">
        <f>IFERROR(__xludf.DUMMYFUNCTION("""COMPUTED_VALUE"""),63.24)</f>
        <v>63.24</v>
      </c>
      <c r="J712" s="7"/>
    </row>
    <row r="713">
      <c r="A713" s="7"/>
      <c r="B713" s="7"/>
      <c r="C713" s="7"/>
      <c r="D713" s="7"/>
      <c r="E713" s="7"/>
      <c r="F713" s="7"/>
      <c r="G713" s="7"/>
      <c r="H713" s="15">
        <f>IFERROR(__xludf.DUMMYFUNCTION("""COMPUTED_VALUE"""),43768.66666666667)</f>
        <v>43768.66667</v>
      </c>
      <c r="I713" s="16">
        <f>IFERROR(__xludf.DUMMYFUNCTION("""COMPUTED_VALUE"""),63.0)</f>
        <v>63</v>
      </c>
      <c r="J713" s="7"/>
    </row>
    <row r="714">
      <c r="A714" s="7"/>
      <c r="B714" s="7"/>
      <c r="C714" s="7"/>
      <c r="D714" s="7"/>
      <c r="E714" s="7"/>
      <c r="F714" s="7"/>
      <c r="G714" s="7"/>
      <c r="H714" s="15">
        <f>IFERROR(__xludf.DUMMYFUNCTION("""COMPUTED_VALUE"""),43769.66666666667)</f>
        <v>43769.66667</v>
      </c>
      <c r="I714" s="16">
        <f>IFERROR(__xludf.DUMMYFUNCTION("""COMPUTED_VALUE"""),62.98)</f>
        <v>62.98</v>
      </c>
      <c r="J714" s="7"/>
    </row>
    <row r="715">
      <c r="A715" s="7"/>
      <c r="B715" s="7"/>
      <c r="C715" s="7"/>
      <c r="D715" s="7"/>
      <c r="E715" s="7"/>
      <c r="F715" s="7"/>
      <c r="G715" s="7"/>
      <c r="H715" s="15">
        <f>IFERROR(__xludf.DUMMYFUNCTION("""COMPUTED_VALUE"""),43770.66666666667)</f>
        <v>43770.66667</v>
      </c>
      <c r="I715" s="16">
        <f>IFERROR(__xludf.DUMMYFUNCTION("""COMPUTED_VALUE"""),62.66)</f>
        <v>62.66</v>
      </c>
      <c r="J715" s="7"/>
    </row>
    <row r="716">
      <c r="A716" s="7"/>
      <c r="B716" s="7"/>
      <c r="C716" s="7"/>
      <c r="D716" s="7"/>
      <c r="E716" s="7"/>
      <c r="F716" s="7"/>
      <c r="G716" s="7"/>
      <c r="H716" s="15">
        <f>IFERROR(__xludf.DUMMYFUNCTION("""COMPUTED_VALUE"""),43773.66666666667)</f>
        <v>43773.66667</v>
      </c>
      <c r="I716" s="16">
        <f>IFERROR(__xludf.DUMMYFUNCTION("""COMPUTED_VALUE"""),63.49)</f>
        <v>63.49</v>
      </c>
      <c r="J716" s="7"/>
    </row>
    <row r="717">
      <c r="A717" s="7"/>
      <c r="B717" s="7"/>
      <c r="C717" s="7"/>
      <c r="D717" s="7"/>
      <c r="E717" s="7"/>
      <c r="F717" s="7"/>
      <c r="G717" s="7"/>
      <c r="H717" s="15">
        <f>IFERROR(__xludf.DUMMYFUNCTION("""COMPUTED_VALUE"""),43774.66666666667)</f>
        <v>43774.66667</v>
      </c>
      <c r="I717" s="16">
        <f>IFERROR(__xludf.DUMMYFUNCTION("""COMPUTED_VALUE"""),63.44)</f>
        <v>63.44</v>
      </c>
      <c r="J717" s="7"/>
    </row>
    <row r="718">
      <c r="A718" s="7"/>
      <c r="B718" s="7"/>
      <c r="C718" s="7"/>
      <c r="D718" s="7"/>
      <c r="E718" s="7"/>
      <c r="F718" s="7"/>
      <c r="G718" s="7"/>
      <c r="H718" s="15">
        <f>IFERROR(__xludf.DUMMYFUNCTION("""COMPUTED_VALUE"""),43775.66666666667)</f>
        <v>43775.66667</v>
      </c>
      <c r="I718" s="16">
        <f>IFERROR(__xludf.DUMMYFUNCTION("""COMPUTED_VALUE"""),65.32)</f>
        <v>65.32</v>
      </c>
      <c r="J718" s="7"/>
    </row>
    <row r="719">
      <c r="A719" s="7"/>
      <c r="B719" s="7"/>
      <c r="C719" s="7"/>
      <c r="D719" s="7"/>
      <c r="E719" s="7"/>
      <c r="F719" s="7"/>
      <c r="G719" s="7"/>
      <c r="H719" s="15">
        <f>IFERROR(__xludf.DUMMYFUNCTION("""COMPUTED_VALUE"""),43776.66666666667)</f>
        <v>43776.66667</v>
      </c>
      <c r="I719" s="16">
        <f>IFERROR(__xludf.DUMMYFUNCTION("""COMPUTED_VALUE"""),67.11)</f>
        <v>67.11</v>
      </c>
      <c r="J719" s="7"/>
    </row>
    <row r="720">
      <c r="A720" s="7"/>
      <c r="B720" s="7"/>
      <c r="C720" s="7"/>
      <c r="D720" s="7"/>
      <c r="E720" s="7"/>
      <c r="F720" s="7"/>
      <c r="G720" s="7"/>
      <c r="H720" s="15">
        <f>IFERROR(__xludf.DUMMYFUNCTION("""COMPUTED_VALUE"""),43777.66666666667)</f>
        <v>43777.66667</v>
      </c>
      <c r="I720" s="16">
        <f>IFERROR(__xludf.DUMMYFUNCTION("""COMPUTED_VALUE"""),67.43)</f>
        <v>67.43</v>
      </c>
      <c r="J720" s="7"/>
    </row>
    <row r="721">
      <c r="A721" s="7"/>
      <c r="B721" s="7"/>
      <c r="C721" s="7"/>
      <c r="D721" s="7"/>
      <c r="E721" s="7"/>
      <c r="F721" s="7"/>
      <c r="G721" s="7"/>
      <c r="H721" s="15">
        <f>IFERROR(__xludf.DUMMYFUNCTION("""COMPUTED_VALUE"""),43780.66666666667)</f>
        <v>43780.66667</v>
      </c>
      <c r="I721" s="16">
        <f>IFERROR(__xludf.DUMMYFUNCTION("""COMPUTED_VALUE"""),69.02)</f>
        <v>69.02</v>
      </c>
      <c r="J721" s="7"/>
    </row>
    <row r="722">
      <c r="A722" s="7"/>
      <c r="B722" s="7"/>
      <c r="C722" s="7"/>
      <c r="D722" s="7"/>
      <c r="E722" s="7"/>
      <c r="F722" s="7"/>
      <c r="G722" s="7"/>
      <c r="H722" s="15">
        <f>IFERROR(__xludf.DUMMYFUNCTION("""COMPUTED_VALUE"""),43781.66666666667)</f>
        <v>43781.66667</v>
      </c>
      <c r="I722" s="16">
        <f>IFERROR(__xludf.DUMMYFUNCTION("""COMPUTED_VALUE"""),69.99)</f>
        <v>69.99</v>
      </c>
      <c r="J722" s="7"/>
    </row>
    <row r="723">
      <c r="A723" s="7"/>
      <c r="B723" s="7"/>
      <c r="C723" s="7"/>
      <c r="D723" s="7"/>
      <c r="E723" s="7"/>
      <c r="F723" s="7"/>
      <c r="G723" s="7"/>
      <c r="H723" s="15">
        <f>IFERROR(__xludf.DUMMYFUNCTION("""COMPUTED_VALUE"""),43782.66666666667)</f>
        <v>43782.66667</v>
      </c>
      <c r="I723" s="16">
        <f>IFERROR(__xludf.DUMMYFUNCTION("""COMPUTED_VALUE"""),69.22)</f>
        <v>69.22</v>
      </c>
      <c r="J723" s="7"/>
    </row>
    <row r="724">
      <c r="A724" s="7"/>
      <c r="B724" s="7"/>
      <c r="C724" s="7"/>
      <c r="D724" s="7"/>
      <c r="E724" s="7"/>
      <c r="F724" s="7"/>
      <c r="G724" s="7"/>
      <c r="H724" s="15">
        <f>IFERROR(__xludf.DUMMYFUNCTION("""COMPUTED_VALUE"""),43783.66666666667)</f>
        <v>43783.66667</v>
      </c>
      <c r="I724" s="16">
        <f>IFERROR(__xludf.DUMMYFUNCTION("""COMPUTED_VALUE"""),69.87)</f>
        <v>69.87</v>
      </c>
      <c r="J724" s="7"/>
    </row>
    <row r="725">
      <c r="A725" s="7"/>
      <c r="B725" s="7"/>
      <c r="C725" s="7"/>
      <c r="D725" s="7"/>
      <c r="E725" s="7"/>
      <c r="F725" s="7"/>
      <c r="G725" s="7"/>
      <c r="H725" s="15">
        <f>IFERROR(__xludf.DUMMYFUNCTION("""COMPUTED_VALUE"""),43784.66666666667)</f>
        <v>43784.66667</v>
      </c>
      <c r="I725" s="16">
        <f>IFERROR(__xludf.DUMMYFUNCTION("""COMPUTED_VALUE"""),70.43)</f>
        <v>70.43</v>
      </c>
      <c r="J725" s="7"/>
    </row>
    <row r="726">
      <c r="A726" s="7"/>
      <c r="B726" s="7"/>
      <c r="C726" s="7"/>
      <c r="D726" s="7"/>
      <c r="E726" s="7"/>
      <c r="F726" s="7"/>
      <c r="G726" s="7"/>
      <c r="H726" s="15">
        <f>IFERROR(__xludf.DUMMYFUNCTION("""COMPUTED_VALUE"""),43787.66666666667)</f>
        <v>43787.66667</v>
      </c>
      <c r="I726" s="16">
        <f>IFERROR(__xludf.DUMMYFUNCTION("""COMPUTED_VALUE"""),70.0)</f>
        <v>70</v>
      </c>
      <c r="J726" s="7"/>
    </row>
    <row r="727">
      <c r="A727" s="7"/>
      <c r="B727" s="7"/>
      <c r="C727" s="7"/>
      <c r="D727" s="7"/>
      <c r="E727" s="7"/>
      <c r="F727" s="7"/>
      <c r="G727" s="7"/>
      <c r="H727" s="15">
        <f>IFERROR(__xludf.DUMMYFUNCTION("""COMPUTED_VALUE"""),43788.66666666667)</f>
        <v>43788.66667</v>
      </c>
      <c r="I727" s="16">
        <f>IFERROR(__xludf.DUMMYFUNCTION("""COMPUTED_VALUE"""),71.9)</f>
        <v>71.9</v>
      </c>
      <c r="J727" s="7"/>
    </row>
    <row r="728">
      <c r="A728" s="7"/>
      <c r="B728" s="7"/>
      <c r="C728" s="7"/>
      <c r="D728" s="7"/>
      <c r="E728" s="7"/>
      <c r="F728" s="7"/>
      <c r="G728" s="7"/>
      <c r="H728" s="15">
        <f>IFERROR(__xludf.DUMMYFUNCTION("""COMPUTED_VALUE"""),43789.66666666667)</f>
        <v>43789.66667</v>
      </c>
      <c r="I728" s="16">
        <f>IFERROR(__xludf.DUMMYFUNCTION("""COMPUTED_VALUE"""),70.44)</f>
        <v>70.44</v>
      </c>
      <c r="J728" s="7"/>
    </row>
    <row r="729">
      <c r="A729" s="7"/>
      <c r="B729" s="7"/>
      <c r="C729" s="7"/>
      <c r="D729" s="7"/>
      <c r="E729" s="7"/>
      <c r="F729" s="7"/>
      <c r="G729" s="7"/>
      <c r="H729" s="15">
        <f>IFERROR(__xludf.DUMMYFUNCTION("""COMPUTED_VALUE"""),43790.66666666667)</f>
        <v>43790.66667</v>
      </c>
      <c r="I729" s="16">
        <f>IFERROR(__xludf.DUMMYFUNCTION("""COMPUTED_VALUE"""),70.97)</f>
        <v>70.97</v>
      </c>
      <c r="J729" s="7"/>
    </row>
    <row r="730">
      <c r="A730" s="7"/>
      <c r="B730" s="7"/>
      <c r="C730" s="7"/>
      <c r="D730" s="7"/>
      <c r="E730" s="7"/>
      <c r="F730" s="7"/>
      <c r="G730" s="7"/>
      <c r="H730" s="15">
        <f>IFERROR(__xludf.DUMMYFUNCTION("""COMPUTED_VALUE"""),43791.66666666667)</f>
        <v>43791.66667</v>
      </c>
      <c r="I730" s="16">
        <f>IFERROR(__xludf.DUMMYFUNCTION("""COMPUTED_VALUE"""),66.61)</f>
        <v>66.61</v>
      </c>
      <c r="J730" s="7"/>
    </row>
    <row r="731">
      <c r="A731" s="7"/>
      <c r="B731" s="7"/>
      <c r="C731" s="7"/>
      <c r="D731" s="7"/>
      <c r="E731" s="7"/>
      <c r="F731" s="7"/>
      <c r="G731" s="7"/>
      <c r="H731" s="15">
        <f>IFERROR(__xludf.DUMMYFUNCTION("""COMPUTED_VALUE"""),43794.66666666667)</f>
        <v>43794.66667</v>
      </c>
      <c r="I731" s="16">
        <f>IFERROR(__xludf.DUMMYFUNCTION("""COMPUTED_VALUE"""),67.27)</f>
        <v>67.27</v>
      </c>
      <c r="J731" s="7"/>
    </row>
    <row r="732">
      <c r="A732" s="7"/>
      <c r="B732" s="7"/>
      <c r="C732" s="7"/>
      <c r="D732" s="7"/>
      <c r="E732" s="7"/>
      <c r="F732" s="7"/>
      <c r="G732" s="7"/>
      <c r="H732" s="15">
        <f>IFERROR(__xludf.DUMMYFUNCTION("""COMPUTED_VALUE"""),43795.66666666667)</f>
        <v>43795.66667</v>
      </c>
      <c r="I732" s="16">
        <f>IFERROR(__xludf.DUMMYFUNCTION("""COMPUTED_VALUE"""),65.78)</f>
        <v>65.78</v>
      </c>
      <c r="J732" s="7"/>
    </row>
    <row r="733">
      <c r="A733" s="7"/>
      <c r="B733" s="7"/>
      <c r="C733" s="7"/>
      <c r="D733" s="7"/>
      <c r="E733" s="7"/>
      <c r="F733" s="7"/>
      <c r="G733" s="7"/>
      <c r="H733" s="15">
        <f>IFERROR(__xludf.DUMMYFUNCTION("""COMPUTED_VALUE"""),43796.66666666667)</f>
        <v>43796.66667</v>
      </c>
      <c r="I733" s="16">
        <f>IFERROR(__xludf.DUMMYFUNCTION("""COMPUTED_VALUE"""),66.26)</f>
        <v>66.26</v>
      </c>
      <c r="J733" s="7"/>
    </row>
    <row r="734">
      <c r="A734" s="7"/>
      <c r="B734" s="7"/>
      <c r="C734" s="7"/>
      <c r="D734" s="7"/>
      <c r="E734" s="7"/>
      <c r="F734" s="7"/>
      <c r="G734" s="7"/>
      <c r="H734" s="15">
        <f>IFERROR(__xludf.DUMMYFUNCTION("""COMPUTED_VALUE"""),43798.54166666667)</f>
        <v>43798.54167</v>
      </c>
      <c r="I734" s="16">
        <f>IFERROR(__xludf.DUMMYFUNCTION("""COMPUTED_VALUE"""),65.99)</f>
        <v>65.99</v>
      </c>
      <c r="J734" s="7"/>
    </row>
    <row r="735">
      <c r="A735" s="7"/>
      <c r="B735" s="7"/>
      <c r="C735" s="7"/>
      <c r="D735" s="7"/>
      <c r="E735" s="7"/>
      <c r="F735" s="7"/>
      <c r="G735" s="7"/>
      <c r="H735" s="15">
        <f>IFERROR(__xludf.DUMMYFUNCTION("""COMPUTED_VALUE"""),43801.66666666667)</f>
        <v>43801.66667</v>
      </c>
      <c r="I735" s="16">
        <f>IFERROR(__xludf.DUMMYFUNCTION("""COMPUTED_VALUE"""),66.97)</f>
        <v>66.97</v>
      </c>
      <c r="J735" s="7"/>
    </row>
    <row r="736">
      <c r="A736" s="7"/>
      <c r="B736" s="7"/>
      <c r="C736" s="7"/>
      <c r="D736" s="7"/>
      <c r="E736" s="7"/>
      <c r="F736" s="7"/>
      <c r="G736" s="7"/>
      <c r="H736" s="15">
        <f>IFERROR(__xludf.DUMMYFUNCTION("""COMPUTED_VALUE"""),43802.66666666667)</f>
        <v>43802.66667</v>
      </c>
      <c r="I736" s="16">
        <f>IFERROR(__xludf.DUMMYFUNCTION("""COMPUTED_VALUE"""),67.24)</f>
        <v>67.24</v>
      </c>
      <c r="J736" s="7"/>
    </row>
    <row r="737">
      <c r="A737" s="7"/>
      <c r="B737" s="7"/>
      <c r="C737" s="7"/>
      <c r="D737" s="7"/>
      <c r="E737" s="7"/>
      <c r="F737" s="7"/>
      <c r="G737" s="7"/>
      <c r="H737" s="15">
        <f>IFERROR(__xludf.DUMMYFUNCTION("""COMPUTED_VALUE"""),43803.66666666667)</f>
        <v>43803.66667</v>
      </c>
      <c r="I737" s="16">
        <f>IFERROR(__xludf.DUMMYFUNCTION("""COMPUTED_VALUE"""),66.61)</f>
        <v>66.61</v>
      </c>
      <c r="J737" s="7"/>
    </row>
    <row r="738">
      <c r="A738" s="7"/>
      <c r="B738" s="7"/>
      <c r="C738" s="7"/>
      <c r="D738" s="7"/>
      <c r="E738" s="7"/>
      <c r="F738" s="7"/>
      <c r="G738" s="7"/>
      <c r="H738" s="15">
        <f>IFERROR(__xludf.DUMMYFUNCTION("""COMPUTED_VALUE"""),43804.66666666667)</f>
        <v>43804.66667</v>
      </c>
      <c r="I738" s="16">
        <f>IFERROR(__xludf.DUMMYFUNCTION("""COMPUTED_VALUE"""),66.07)</f>
        <v>66.07</v>
      </c>
      <c r="J738" s="7"/>
    </row>
    <row r="739">
      <c r="A739" s="7"/>
      <c r="B739" s="7"/>
      <c r="C739" s="7"/>
      <c r="D739" s="7"/>
      <c r="E739" s="7"/>
      <c r="F739" s="7"/>
      <c r="G739" s="7"/>
      <c r="H739" s="15">
        <f>IFERROR(__xludf.DUMMYFUNCTION("""COMPUTED_VALUE"""),43805.66666666667)</f>
        <v>43805.66667</v>
      </c>
      <c r="I739" s="16">
        <f>IFERROR(__xludf.DUMMYFUNCTION("""COMPUTED_VALUE"""),67.18)</f>
        <v>67.18</v>
      </c>
      <c r="J739" s="7"/>
    </row>
    <row r="740">
      <c r="A740" s="7"/>
      <c r="B740" s="7"/>
      <c r="C740" s="7"/>
      <c r="D740" s="7"/>
      <c r="E740" s="7"/>
      <c r="F740" s="7"/>
      <c r="G740" s="7"/>
      <c r="H740" s="15">
        <f>IFERROR(__xludf.DUMMYFUNCTION("""COMPUTED_VALUE"""),43808.66666666667)</f>
        <v>43808.66667</v>
      </c>
      <c r="I740" s="16">
        <f>IFERROR(__xludf.DUMMYFUNCTION("""COMPUTED_VALUE"""),67.91)</f>
        <v>67.91</v>
      </c>
      <c r="J740" s="7"/>
    </row>
    <row r="741">
      <c r="A741" s="7"/>
      <c r="B741" s="7"/>
      <c r="C741" s="7"/>
      <c r="D741" s="7"/>
      <c r="E741" s="7"/>
      <c r="F741" s="7"/>
      <c r="G741" s="7"/>
      <c r="H741" s="15">
        <f>IFERROR(__xludf.DUMMYFUNCTION("""COMPUTED_VALUE"""),43809.66666666667)</f>
        <v>43809.66667</v>
      </c>
      <c r="I741" s="16">
        <f>IFERROR(__xludf.DUMMYFUNCTION("""COMPUTED_VALUE"""),69.77)</f>
        <v>69.77</v>
      </c>
      <c r="J741" s="7"/>
    </row>
    <row r="742">
      <c r="A742" s="7"/>
      <c r="B742" s="7"/>
      <c r="C742" s="7"/>
      <c r="D742" s="7"/>
      <c r="E742" s="7"/>
      <c r="F742" s="7"/>
      <c r="G742" s="7"/>
      <c r="H742" s="15">
        <f>IFERROR(__xludf.DUMMYFUNCTION("""COMPUTED_VALUE"""),43810.66666666667)</f>
        <v>43810.66667</v>
      </c>
      <c r="I742" s="16">
        <f>IFERROR(__xludf.DUMMYFUNCTION("""COMPUTED_VALUE"""),70.54)</f>
        <v>70.54</v>
      </c>
      <c r="J742" s="7"/>
    </row>
    <row r="743">
      <c r="A743" s="7"/>
      <c r="B743" s="7"/>
      <c r="C743" s="7"/>
      <c r="D743" s="7"/>
      <c r="E743" s="7"/>
      <c r="F743" s="7"/>
      <c r="G743" s="7"/>
      <c r="H743" s="15">
        <f>IFERROR(__xludf.DUMMYFUNCTION("""COMPUTED_VALUE"""),43811.66666666667)</f>
        <v>43811.66667</v>
      </c>
      <c r="I743" s="16">
        <f>IFERROR(__xludf.DUMMYFUNCTION("""COMPUTED_VALUE"""),71.94)</f>
        <v>71.94</v>
      </c>
      <c r="J743" s="7"/>
    </row>
    <row r="744">
      <c r="A744" s="7"/>
      <c r="B744" s="7"/>
      <c r="C744" s="7"/>
      <c r="D744" s="7"/>
      <c r="E744" s="7"/>
      <c r="F744" s="7"/>
      <c r="G744" s="7"/>
      <c r="H744" s="15">
        <f>IFERROR(__xludf.DUMMYFUNCTION("""COMPUTED_VALUE"""),43812.66666666667)</f>
        <v>43812.66667</v>
      </c>
      <c r="I744" s="16">
        <f>IFERROR(__xludf.DUMMYFUNCTION("""COMPUTED_VALUE"""),71.68)</f>
        <v>71.68</v>
      </c>
      <c r="J744" s="7"/>
    </row>
    <row r="745">
      <c r="A745" s="7"/>
      <c r="B745" s="7"/>
      <c r="C745" s="7"/>
      <c r="D745" s="7"/>
      <c r="E745" s="7"/>
      <c r="F745" s="7"/>
      <c r="G745" s="7"/>
      <c r="H745" s="15">
        <f>IFERROR(__xludf.DUMMYFUNCTION("""COMPUTED_VALUE"""),43815.66666666667)</f>
        <v>43815.66667</v>
      </c>
      <c r="I745" s="16">
        <f>IFERROR(__xludf.DUMMYFUNCTION("""COMPUTED_VALUE"""),76.3)</f>
        <v>76.3</v>
      </c>
      <c r="J745" s="7"/>
    </row>
    <row r="746">
      <c r="A746" s="7"/>
      <c r="B746" s="7"/>
      <c r="C746" s="7"/>
      <c r="D746" s="7"/>
      <c r="E746" s="7"/>
      <c r="F746" s="7"/>
      <c r="G746" s="7"/>
      <c r="H746" s="15">
        <f>IFERROR(__xludf.DUMMYFUNCTION("""COMPUTED_VALUE"""),43816.66666666667)</f>
        <v>43816.66667</v>
      </c>
      <c r="I746" s="16">
        <f>IFERROR(__xludf.DUMMYFUNCTION("""COMPUTED_VALUE"""),75.8)</f>
        <v>75.8</v>
      </c>
      <c r="J746" s="7"/>
    </row>
    <row r="747">
      <c r="A747" s="7"/>
      <c r="B747" s="7"/>
      <c r="C747" s="7"/>
      <c r="D747" s="7"/>
      <c r="E747" s="7"/>
      <c r="F747" s="7"/>
      <c r="G747" s="7"/>
      <c r="H747" s="15">
        <f>IFERROR(__xludf.DUMMYFUNCTION("""COMPUTED_VALUE"""),43817.66666666667)</f>
        <v>43817.66667</v>
      </c>
      <c r="I747" s="16">
        <f>IFERROR(__xludf.DUMMYFUNCTION("""COMPUTED_VALUE"""),78.63)</f>
        <v>78.63</v>
      </c>
      <c r="J747" s="7"/>
    </row>
    <row r="748">
      <c r="A748" s="7"/>
      <c r="B748" s="7"/>
      <c r="C748" s="7"/>
      <c r="D748" s="7"/>
      <c r="E748" s="7"/>
      <c r="F748" s="7"/>
      <c r="G748" s="7"/>
      <c r="H748" s="15">
        <f>IFERROR(__xludf.DUMMYFUNCTION("""COMPUTED_VALUE"""),43818.66666666667)</f>
        <v>43818.66667</v>
      </c>
      <c r="I748" s="16">
        <f>IFERROR(__xludf.DUMMYFUNCTION("""COMPUTED_VALUE"""),80.81)</f>
        <v>80.81</v>
      </c>
      <c r="J748" s="7"/>
    </row>
    <row r="749">
      <c r="A749" s="7"/>
      <c r="B749" s="7"/>
      <c r="C749" s="7"/>
      <c r="D749" s="7"/>
      <c r="E749" s="7"/>
      <c r="F749" s="7"/>
      <c r="G749" s="7"/>
      <c r="H749" s="15">
        <f>IFERROR(__xludf.DUMMYFUNCTION("""COMPUTED_VALUE"""),43819.66666666667)</f>
        <v>43819.66667</v>
      </c>
      <c r="I749" s="16">
        <f>IFERROR(__xludf.DUMMYFUNCTION("""COMPUTED_VALUE"""),81.12)</f>
        <v>81.12</v>
      </c>
      <c r="J749" s="7"/>
    </row>
    <row r="750">
      <c r="A750" s="7"/>
      <c r="B750" s="7"/>
      <c r="C750" s="7"/>
      <c r="D750" s="7"/>
      <c r="E750" s="7"/>
      <c r="F750" s="7"/>
      <c r="G750" s="7"/>
      <c r="H750" s="15">
        <f>IFERROR(__xludf.DUMMYFUNCTION("""COMPUTED_VALUE"""),43822.66666666667)</f>
        <v>43822.66667</v>
      </c>
      <c r="I750" s="16">
        <f>IFERROR(__xludf.DUMMYFUNCTION("""COMPUTED_VALUE"""),83.84)</f>
        <v>83.84</v>
      </c>
      <c r="J750" s="7"/>
    </row>
    <row r="751">
      <c r="A751" s="7"/>
      <c r="B751" s="7"/>
      <c r="C751" s="7"/>
      <c r="D751" s="7"/>
      <c r="E751" s="7"/>
      <c r="F751" s="7"/>
      <c r="G751" s="7"/>
      <c r="H751" s="15">
        <f>IFERROR(__xludf.DUMMYFUNCTION("""COMPUTED_VALUE"""),43823.54166666667)</f>
        <v>43823.54167</v>
      </c>
      <c r="I751" s="16">
        <f>IFERROR(__xludf.DUMMYFUNCTION("""COMPUTED_VALUE"""),85.05)</f>
        <v>85.05</v>
      </c>
      <c r="J751" s="7"/>
    </row>
    <row r="752">
      <c r="A752" s="7"/>
      <c r="B752" s="7"/>
      <c r="C752" s="7"/>
      <c r="D752" s="7"/>
      <c r="E752" s="7"/>
      <c r="F752" s="7"/>
      <c r="G752" s="7"/>
      <c r="H752" s="15">
        <f>IFERROR(__xludf.DUMMYFUNCTION("""COMPUTED_VALUE"""),43825.66666666667)</f>
        <v>43825.66667</v>
      </c>
      <c r="I752" s="16">
        <f>IFERROR(__xludf.DUMMYFUNCTION("""COMPUTED_VALUE"""),86.19)</f>
        <v>86.19</v>
      </c>
      <c r="J752" s="7"/>
    </row>
    <row r="753">
      <c r="A753" s="7"/>
      <c r="B753" s="7"/>
      <c r="C753" s="7"/>
      <c r="D753" s="7"/>
      <c r="E753" s="7"/>
      <c r="F753" s="7"/>
      <c r="G753" s="7"/>
      <c r="H753" s="15">
        <f>IFERROR(__xludf.DUMMYFUNCTION("""COMPUTED_VALUE"""),43826.66666666667)</f>
        <v>43826.66667</v>
      </c>
      <c r="I753" s="16">
        <f>IFERROR(__xludf.DUMMYFUNCTION("""COMPUTED_VALUE"""),86.08)</f>
        <v>86.08</v>
      </c>
      <c r="J753" s="7"/>
    </row>
    <row r="754">
      <c r="A754" s="7"/>
      <c r="B754" s="7"/>
      <c r="C754" s="7"/>
      <c r="D754" s="7"/>
      <c r="E754" s="7"/>
      <c r="F754" s="7"/>
      <c r="G754" s="7"/>
      <c r="H754" s="15">
        <f>IFERROR(__xludf.DUMMYFUNCTION("""COMPUTED_VALUE"""),43829.66666666667)</f>
        <v>43829.66667</v>
      </c>
      <c r="I754" s="16">
        <f>IFERROR(__xludf.DUMMYFUNCTION("""COMPUTED_VALUE"""),82.94)</f>
        <v>82.94</v>
      </c>
      <c r="J754" s="7"/>
    </row>
    <row r="755">
      <c r="A755" s="7"/>
      <c r="B755" s="7"/>
      <c r="C755" s="7"/>
      <c r="D755" s="7"/>
      <c r="E755" s="7"/>
      <c r="F755" s="7"/>
      <c r="G755" s="7"/>
      <c r="H755" s="15">
        <f>IFERROR(__xludf.DUMMYFUNCTION("""COMPUTED_VALUE"""),43830.66666666667)</f>
        <v>43830.66667</v>
      </c>
      <c r="I755" s="16">
        <f>IFERROR(__xludf.DUMMYFUNCTION("""COMPUTED_VALUE"""),83.67)</f>
        <v>83.67</v>
      </c>
      <c r="J755" s="7"/>
    </row>
    <row r="756">
      <c r="A756" s="7"/>
      <c r="B756" s="7"/>
      <c r="C756" s="7"/>
      <c r="D756" s="7"/>
      <c r="E756" s="7"/>
      <c r="F756" s="7"/>
      <c r="G756" s="7"/>
      <c r="H756" s="15">
        <f>IFERROR(__xludf.DUMMYFUNCTION("""COMPUTED_VALUE"""),43832.66666666667)</f>
        <v>43832.66667</v>
      </c>
      <c r="I756" s="16">
        <f>IFERROR(__xludf.DUMMYFUNCTION("""COMPUTED_VALUE"""),86.05)</f>
        <v>86.05</v>
      </c>
      <c r="J756" s="7"/>
    </row>
    <row r="757">
      <c r="A757" s="7"/>
      <c r="B757" s="7"/>
      <c r="C757" s="7"/>
      <c r="D757" s="7"/>
      <c r="E757" s="7"/>
      <c r="F757" s="7"/>
      <c r="G757" s="7"/>
      <c r="H757" s="15">
        <f>IFERROR(__xludf.DUMMYFUNCTION("""COMPUTED_VALUE"""),43833.66666666667)</f>
        <v>43833.66667</v>
      </c>
      <c r="I757" s="16">
        <f>IFERROR(__xludf.DUMMYFUNCTION("""COMPUTED_VALUE"""),88.6)</f>
        <v>88.6</v>
      </c>
      <c r="J757" s="7"/>
    </row>
    <row r="758">
      <c r="A758" s="7"/>
      <c r="B758" s="7"/>
      <c r="C758" s="7"/>
      <c r="D758" s="7"/>
      <c r="E758" s="7"/>
      <c r="F758" s="7"/>
      <c r="G758" s="7"/>
      <c r="H758" s="15">
        <f>IFERROR(__xludf.DUMMYFUNCTION("""COMPUTED_VALUE"""),43836.66666666667)</f>
        <v>43836.66667</v>
      </c>
      <c r="I758" s="16">
        <f>IFERROR(__xludf.DUMMYFUNCTION("""COMPUTED_VALUE"""),90.31)</f>
        <v>90.31</v>
      </c>
      <c r="J758" s="7"/>
    </row>
    <row r="759">
      <c r="A759" s="7"/>
      <c r="B759" s="7"/>
      <c r="C759" s="7"/>
      <c r="D759" s="7"/>
      <c r="E759" s="7"/>
      <c r="F759" s="7"/>
      <c r="G759" s="7"/>
      <c r="H759" s="15">
        <f>IFERROR(__xludf.DUMMYFUNCTION("""COMPUTED_VALUE"""),43837.66666666667)</f>
        <v>43837.66667</v>
      </c>
      <c r="I759" s="16">
        <f>IFERROR(__xludf.DUMMYFUNCTION("""COMPUTED_VALUE"""),93.81)</f>
        <v>93.81</v>
      </c>
      <c r="J759" s="7"/>
    </row>
    <row r="760">
      <c r="A760" s="7"/>
      <c r="B760" s="7"/>
      <c r="C760" s="7"/>
      <c r="D760" s="7"/>
      <c r="E760" s="7"/>
      <c r="F760" s="7"/>
      <c r="G760" s="7"/>
      <c r="H760" s="15">
        <f>IFERROR(__xludf.DUMMYFUNCTION("""COMPUTED_VALUE"""),43838.66666666667)</f>
        <v>43838.66667</v>
      </c>
      <c r="I760" s="16">
        <f>IFERROR(__xludf.DUMMYFUNCTION("""COMPUTED_VALUE"""),98.43)</f>
        <v>98.43</v>
      </c>
      <c r="J760" s="7"/>
    </row>
    <row r="761">
      <c r="A761" s="7"/>
      <c r="B761" s="7"/>
      <c r="C761" s="7"/>
      <c r="D761" s="7"/>
      <c r="E761" s="7"/>
      <c r="F761" s="7"/>
      <c r="G761" s="7"/>
      <c r="H761" s="15">
        <f>IFERROR(__xludf.DUMMYFUNCTION("""COMPUTED_VALUE"""),43839.66666666667)</f>
        <v>43839.66667</v>
      </c>
      <c r="I761" s="16">
        <f>IFERROR(__xludf.DUMMYFUNCTION("""COMPUTED_VALUE"""),96.27)</f>
        <v>96.27</v>
      </c>
      <c r="J761" s="7"/>
    </row>
    <row r="762">
      <c r="A762" s="7"/>
      <c r="B762" s="7"/>
      <c r="C762" s="7"/>
      <c r="D762" s="7"/>
      <c r="E762" s="7"/>
      <c r="F762" s="7"/>
      <c r="G762" s="7"/>
      <c r="H762" s="15">
        <f>IFERROR(__xludf.DUMMYFUNCTION("""COMPUTED_VALUE"""),43840.66666666667)</f>
        <v>43840.66667</v>
      </c>
      <c r="I762" s="16">
        <f>IFERROR(__xludf.DUMMYFUNCTION("""COMPUTED_VALUE"""),95.63)</f>
        <v>95.63</v>
      </c>
      <c r="J762" s="7"/>
    </row>
    <row r="763">
      <c r="A763" s="7"/>
      <c r="B763" s="7"/>
      <c r="C763" s="7"/>
      <c r="D763" s="7"/>
      <c r="E763" s="7"/>
      <c r="F763" s="7"/>
      <c r="G763" s="7"/>
      <c r="H763" s="15">
        <f>IFERROR(__xludf.DUMMYFUNCTION("""COMPUTED_VALUE"""),43843.66666666667)</f>
        <v>43843.66667</v>
      </c>
      <c r="I763" s="16">
        <f>IFERROR(__xludf.DUMMYFUNCTION("""COMPUTED_VALUE"""),104.97)</f>
        <v>104.97</v>
      </c>
      <c r="J763" s="7"/>
    </row>
    <row r="764">
      <c r="A764" s="7"/>
      <c r="B764" s="7"/>
      <c r="C764" s="7"/>
      <c r="D764" s="7"/>
      <c r="E764" s="7"/>
      <c r="F764" s="7"/>
      <c r="G764" s="7"/>
      <c r="H764" s="15">
        <f>IFERROR(__xludf.DUMMYFUNCTION("""COMPUTED_VALUE"""),43844.66666666667)</f>
        <v>43844.66667</v>
      </c>
      <c r="I764" s="16">
        <f>IFERROR(__xludf.DUMMYFUNCTION("""COMPUTED_VALUE"""),107.58)</f>
        <v>107.58</v>
      </c>
      <c r="J764" s="7"/>
    </row>
    <row r="765">
      <c r="A765" s="7"/>
      <c r="B765" s="7"/>
      <c r="C765" s="7"/>
      <c r="D765" s="7"/>
      <c r="E765" s="7"/>
      <c r="F765" s="7"/>
      <c r="G765" s="7"/>
      <c r="H765" s="15">
        <f>IFERROR(__xludf.DUMMYFUNCTION("""COMPUTED_VALUE"""),43845.66666666667)</f>
        <v>43845.66667</v>
      </c>
      <c r="I765" s="16">
        <f>IFERROR(__xludf.DUMMYFUNCTION("""COMPUTED_VALUE"""),103.7)</f>
        <v>103.7</v>
      </c>
      <c r="J765" s="7"/>
    </row>
    <row r="766">
      <c r="A766" s="7"/>
      <c r="B766" s="7"/>
      <c r="C766" s="7"/>
      <c r="D766" s="7"/>
      <c r="E766" s="7"/>
      <c r="F766" s="7"/>
      <c r="G766" s="7"/>
      <c r="H766" s="15">
        <f>IFERROR(__xludf.DUMMYFUNCTION("""COMPUTED_VALUE"""),43846.66666666667)</f>
        <v>43846.66667</v>
      </c>
      <c r="I766" s="16">
        <f>IFERROR(__xludf.DUMMYFUNCTION("""COMPUTED_VALUE"""),102.7)</f>
        <v>102.7</v>
      </c>
      <c r="J766" s="7"/>
    </row>
    <row r="767">
      <c r="A767" s="7"/>
      <c r="B767" s="7"/>
      <c r="C767" s="7"/>
      <c r="D767" s="7"/>
      <c r="E767" s="7"/>
      <c r="F767" s="7"/>
      <c r="G767" s="7"/>
      <c r="H767" s="15">
        <f>IFERROR(__xludf.DUMMYFUNCTION("""COMPUTED_VALUE"""),43847.66666666667)</f>
        <v>43847.66667</v>
      </c>
      <c r="I767" s="16">
        <f>IFERROR(__xludf.DUMMYFUNCTION("""COMPUTED_VALUE"""),102.1)</f>
        <v>102.1</v>
      </c>
      <c r="J767" s="7"/>
    </row>
    <row r="768">
      <c r="A768" s="7"/>
      <c r="B768" s="7"/>
      <c r="C768" s="7"/>
      <c r="D768" s="7"/>
      <c r="E768" s="7"/>
      <c r="F768" s="7"/>
      <c r="G768" s="7"/>
      <c r="H768" s="15">
        <f>IFERROR(__xludf.DUMMYFUNCTION("""COMPUTED_VALUE"""),43851.66666666667)</f>
        <v>43851.66667</v>
      </c>
      <c r="I768" s="16">
        <f>IFERROR(__xludf.DUMMYFUNCTION("""COMPUTED_VALUE"""),109.44)</f>
        <v>109.44</v>
      </c>
      <c r="J768" s="7"/>
    </row>
    <row r="769">
      <c r="A769" s="7"/>
      <c r="B769" s="7"/>
      <c r="C769" s="7"/>
      <c r="D769" s="7"/>
      <c r="E769" s="7"/>
      <c r="F769" s="7"/>
      <c r="G769" s="7"/>
      <c r="H769" s="15">
        <f>IFERROR(__xludf.DUMMYFUNCTION("""COMPUTED_VALUE"""),43852.66666666667)</f>
        <v>43852.66667</v>
      </c>
      <c r="I769" s="16">
        <f>IFERROR(__xludf.DUMMYFUNCTION("""COMPUTED_VALUE"""),113.91)</f>
        <v>113.91</v>
      </c>
      <c r="J769" s="7"/>
    </row>
    <row r="770">
      <c r="A770" s="7"/>
      <c r="B770" s="7"/>
      <c r="C770" s="7"/>
      <c r="D770" s="7"/>
      <c r="E770" s="7"/>
      <c r="F770" s="7"/>
      <c r="G770" s="7"/>
      <c r="H770" s="15">
        <f>IFERROR(__xludf.DUMMYFUNCTION("""COMPUTED_VALUE"""),43853.66666666667)</f>
        <v>43853.66667</v>
      </c>
      <c r="I770" s="16">
        <f>IFERROR(__xludf.DUMMYFUNCTION("""COMPUTED_VALUE"""),114.44)</f>
        <v>114.44</v>
      </c>
      <c r="J770" s="7"/>
    </row>
    <row r="771">
      <c r="A771" s="7"/>
      <c r="B771" s="7"/>
      <c r="C771" s="7"/>
      <c r="D771" s="7"/>
      <c r="E771" s="7"/>
      <c r="F771" s="7"/>
      <c r="G771" s="7"/>
      <c r="H771" s="15">
        <f>IFERROR(__xludf.DUMMYFUNCTION("""COMPUTED_VALUE"""),43854.66666666667)</f>
        <v>43854.66667</v>
      </c>
      <c r="I771" s="16">
        <f>IFERROR(__xludf.DUMMYFUNCTION("""COMPUTED_VALUE"""),112.96)</f>
        <v>112.96</v>
      </c>
      <c r="J771" s="7"/>
    </row>
    <row r="772">
      <c r="A772" s="7"/>
      <c r="B772" s="7"/>
      <c r="C772" s="7"/>
      <c r="D772" s="7"/>
      <c r="E772" s="7"/>
      <c r="F772" s="7"/>
      <c r="G772" s="7"/>
      <c r="H772" s="15">
        <f>IFERROR(__xludf.DUMMYFUNCTION("""COMPUTED_VALUE"""),43857.66666666667)</f>
        <v>43857.66667</v>
      </c>
      <c r="I772" s="16">
        <f>IFERROR(__xludf.DUMMYFUNCTION("""COMPUTED_VALUE"""),111.6)</f>
        <v>111.6</v>
      </c>
      <c r="J772" s="7"/>
    </row>
    <row r="773">
      <c r="A773" s="7"/>
      <c r="B773" s="7"/>
      <c r="C773" s="7"/>
      <c r="D773" s="7"/>
      <c r="E773" s="7"/>
      <c r="F773" s="7"/>
      <c r="G773" s="7"/>
      <c r="H773" s="15">
        <f>IFERROR(__xludf.DUMMYFUNCTION("""COMPUTED_VALUE"""),43858.66666666667)</f>
        <v>43858.66667</v>
      </c>
      <c r="I773" s="16">
        <f>IFERROR(__xludf.DUMMYFUNCTION("""COMPUTED_VALUE"""),113.38)</f>
        <v>113.38</v>
      </c>
      <c r="J773" s="7"/>
    </row>
    <row r="774">
      <c r="A774" s="7"/>
      <c r="B774" s="7"/>
      <c r="C774" s="7"/>
      <c r="D774" s="7"/>
      <c r="E774" s="7"/>
      <c r="F774" s="7"/>
      <c r="G774" s="7"/>
      <c r="H774" s="15">
        <f>IFERROR(__xludf.DUMMYFUNCTION("""COMPUTED_VALUE"""),43859.66666666667)</f>
        <v>43859.66667</v>
      </c>
      <c r="I774" s="16">
        <f>IFERROR(__xludf.DUMMYFUNCTION("""COMPUTED_VALUE"""),116.2)</f>
        <v>116.2</v>
      </c>
      <c r="J774" s="7"/>
    </row>
    <row r="775">
      <c r="A775" s="7"/>
      <c r="B775" s="7"/>
      <c r="C775" s="7"/>
      <c r="D775" s="7"/>
      <c r="E775" s="7"/>
      <c r="F775" s="7"/>
      <c r="G775" s="7"/>
      <c r="H775" s="15">
        <f>IFERROR(__xludf.DUMMYFUNCTION("""COMPUTED_VALUE"""),43860.66666666667)</f>
        <v>43860.66667</v>
      </c>
      <c r="I775" s="16">
        <f>IFERROR(__xludf.DUMMYFUNCTION("""COMPUTED_VALUE"""),128.16)</f>
        <v>128.16</v>
      </c>
      <c r="J775" s="7"/>
    </row>
    <row r="776">
      <c r="A776" s="7"/>
      <c r="B776" s="7"/>
      <c r="C776" s="7"/>
      <c r="D776" s="7"/>
      <c r="E776" s="7"/>
      <c r="F776" s="7"/>
      <c r="G776" s="7"/>
      <c r="H776" s="15">
        <f>IFERROR(__xludf.DUMMYFUNCTION("""COMPUTED_VALUE"""),43861.66666666667)</f>
        <v>43861.66667</v>
      </c>
      <c r="I776" s="16">
        <f>IFERROR(__xludf.DUMMYFUNCTION("""COMPUTED_VALUE"""),130.11)</f>
        <v>130.11</v>
      </c>
      <c r="J776" s="7"/>
    </row>
    <row r="777">
      <c r="A777" s="7"/>
      <c r="B777" s="7"/>
      <c r="C777" s="7"/>
      <c r="D777" s="7"/>
      <c r="E777" s="7"/>
      <c r="F777" s="7"/>
      <c r="G777" s="7"/>
      <c r="H777" s="15">
        <f>IFERROR(__xludf.DUMMYFUNCTION("""COMPUTED_VALUE"""),43864.66666666667)</f>
        <v>43864.66667</v>
      </c>
      <c r="I777" s="16">
        <f>IFERROR(__xludf.DUMMYFUNCTION("""COMPUTED_VALUE"""),156.0)</f>
        <v>156</v>
      </c>
      <c r="J777" s="7"/>
    </row>
    <row r="778">
      <c r="A778" s="7"/>
      <c r="B778" s="7"/>
      <c r="C778" s="7"/>
      <c r="D778" s="7"/>
      <c r="E778" s="7"/>
      <c r="F778" s="7"/>
      <c r="G778" s="7"/>
      <c r="H778" s="15">
        <f>IFERROR(__xludf.DUMMYFUNCTION("""COMPUTED_VALUE"""),43865.66666666667)</f>
        <v>43865.66667</v>
      </c>
      <c r="I778" s="16">
        <f>IFERROR(__xludf.DUMMYFUNCTION("""COMPUTED_VALUE"""),177.41)</f>
        <v>177.41</v>
      </c>
      <c r="J778" s="7"/>
    </row>
    <row r="779">
      <c r="A779" s="7"/>
      <c r="B779" s="7"/>
      <c r="C779" s="7"/>
      <c r="D779" s="7"/>
      <c r="E779" s="7"/>
      <c r="F779" s="7"/>
      <c r="G779" s="7"/>
      <c r="H779" s="15">
        <f>IFERROR(__xludf.DUMMYFUNCTION("""COMPUTED_VALUE"""),43866.66666666667)</f>
        <v>43866.66667</v>
      </c>
      <c r="I779" s="16">
        <f>IFERROR(__xludf.DUMMYFUNCTION("""COMPUTED_VALUE"""),146.94)</f>
        <v>146.94</v>
      </c>
      <c r="J779" s="7"/>
    </row>
    <row r="780">
      <c r="A780" s="7"/>
      <c r="B780" s="7"/>
      <c r="C780" s="7"/>
      <c r="D780" s="7"/>
      <c r="E780" s="7"/>
      <c r="F780" s="7"/>
      <c r="G780" s="7"/>
      <c r="H780" s="15">
        <f>IFERROR(__xludf.DUMMYFUNCTION("""COMPUTED_VALUE"""),43867.66666666667)</f>
        <v>43867.66667</v>
      </c>
      <c r="I780" s="16">
        <f>IFERROR(__xludf.DUMMYFUNCTION("""COMPUTED_VALUE"""),149.79)</f>
        <v>149.79</v>
      </c>
      <c r="J780" s="7"/>
    </row>
    <row r="781">
      <c r="A781" s="7"/>
      <c r="B781" s="7"/>
      <c r="C781" s="7"/>
      <c r="D781" s="7"/>
      <c r="E781" s="7"/>
      <c r="F781" s="7"/>
      <c r="G781" s="7"/>
      <c r="H781" s="15">
        <f>IFERROR(__xludf.DUMMYFUNCTION("""COMPUTED_VALUE"""),43868.66666666667)</f>
        <v>43868.66667</v>
      </c>
      <c r="I781" s="16">
        <f>IFERROR(__xludf.DUMMYFUNCTION("""COMPUTED_VALUE"""),149.61)</f>
        <v>149.61</v>
      </c>
      <c r="J781" s="7"/>
    </row>
    <row r="782">
      <c r="A782" s="7"/>
      <c r="B782" s="7"/>
      <c r="C782" s="7"/>
      <c r="D782" s="7"/>
      <c r="E782" s="7"/>
      <c r="F782" s="7"/>
      <c r="G782" s="7"/>
      <c r="H782" s="15">
        <f>IFERROR(__xludf.DUMMYFUNCTION("""COMPUTED_VALUE"""),43871.66666666667)</f>
        <v>43871.66667</v>
      </c>
      <c r="I782" s="16">
        <f>IFERROR(__xludf.DUMMYFUNCTION("""COMPUTED_VALUE"""),154.26)</f>
        <v>154.26</v>
      </c>
      <c r="J782" s="7"/>
    </row>
    <row r="783">
      <c r="A783" s="7"/>
      <c r="B783" s="7"/>
      <c r="C783" s="7"/>
      <c r="D783" s="7"/>
      <c r="E783" s="7"/>
      <c r="F783" s="7"/>
      <c r="G783" s="7"/>
      <c r="H783" s="15">
        <f>IFERROR(__xludf.DUMMYFUNCTION("""COMPUTED_VALUE"""),43872.66666666667)</f>
        <v>43872.66667</v>
      </c>
      <c r="I783" s="16">
        <f>IFERROR(__xludf.DUMMYFUNCTION("""COMPUTED_VALUE"""),154.88)</f>
        <v>154.88</v>
      </c>
      <c r="J783" s="7"/>
    </row>
    <row r="784">
      <c r="A784" s="7"/>
      <c r="B784" s="7"/>
      <c r="C784" s="7"/>
      <c r="D784" s="7"/>
      <c r="E784" s="7"/>
      <c r="F784" s="7"/>
      <c r="G784" s="7"/>
      <c r="H784" s="15">
        <f>IFERROR(__xludf.DUMMYFUNCTION("""COMPUTED_VALUE"""),43873.66666666667)</f>
        <v>43873.66667</v>
      </c>
      <c r="I784" s="16">
        <f>IFERROR(__xludf.DUMMYFUNCTION("""COMPUTED_VALUE"""),153.46)</f>
        <v>153.46</v>
      </c>
      <c r="J784" s="7"/>
    </row>
    <row r="785">
      <c r="A785" s="7"/>
      <c r="B785" s="7"/>
      <c r="C785" s="7"/>
      <c r="D785" s="7"/>
      <c r="E785" s="7"/>
      <c r="F785" s="7"/>
      <c r="G785" s="7"/>
      <c r="H785" s="15">
        <f>IFERROR(__xludf.DUMMYFUNCTION("""COMPUTED_VALUE"""),43874.66666666667)</f>
        <v>43874.66667</v>
      </c>
      <c r="I785" s="16">
        <f>IFERROR(__xludf.DUMMYFUNCTION("""COMPUTED_VALUE"""),160.8)</f>
        <v>160.8</v>
      </c>
      <c r="J785" s="7"/>
    </row>
    <row r="786">
      <c r="A786" s="7"/>
      <c r="B786" s="7"/>
      <c r="C786" s="7"/>
      <c r="D786" s="7"/>
      <c r="E786" s="7"/>
      <c r="F786" s="7"/>
      <c r="G786" s="7"/>
      <c r="H786" s="15">
        <f>IFERROR(__xludf.DUMMYFUNCTION("""COMPUTED_VALUE"""),43875.66666666667)</f>
        <v>43875.66667</v>
      </c>
      <c r="I786" s="16">
        <f>IFERROR(__xludf.DUMMYFUNCTION("""COMPUTED_VALUE"""),160.01)</f>
        <v>160.01</v>
      </c>
      <c r="J786" s="7"/>
    </row>
    <row r="787">
      <c r="A787" s="7"/>
      <c r="B787" s="7"/>
      <c r="C787" s="7"/>
      <c r="D787" s="7"/>
      <c r="E787" s="7"/>
      <c r="F787" s="7"/>
      <c r="G787" s="7"/>
      <c r="H787" s="15">
        <f>IFERROR(__xludf.DUMMYFUNCTION("""COMPUTED_VALUE"""),43879.66666666667)</f>
        <v>43879.66667</v>
      </c>
      <c r="I787" s="16">
        <f>IFERROR(__xludf.DUMMYFUNCTION("""COMPUTED_VALUE"""),171.68)</f>
        <v>171.68</v>
      </c>
      <c r="J787" s="7"/>
    </row>
    <row r="788">
      <c r="A788" s="7"/>
      <c r="B788" s="7"/>
      <c r="C788" s="7"/>
      <c r="D788" s="7"/>
      <c r="E788" s="7"/>
      <c r="F788" s="7"/>
      <c r="G788" s="7"/>
      <c r="H788" s="15">
        <f>IFERROR(__xludf.DUMMYFUNCTION("""COMPUTED_VALUE"""),43880.66666666667)</f>
        <v>43880.66667</v>
      </c>
      <c r="I788" s="16">
        <f>IFERROR(__xludf.DUMMYFUNCTION("""COMPUTED_VALUE"""),183.48)</f>
        <v>183.48</v>
      </c>
      <c r="J788" s="7"/>
    </row>
    <row r="789">
      <c r="A789" s="7"/>
      <c r="B789" s="7"/>
      <c r="C789" s="7"/>
      <c r="D789" s="7"/>
      <c r="E789" s="7"/>
      <c r="F789" s="7"/>
      <c r="G789" s="7"/>
      <c r="H789" s="15">
        <f>IFERROR(__xludf.DUMMYFUNCTION("""COMPUTED_VALUE"""),43881.66666666667)</f>
        <v>43881.66667</v>
      </c>
      <c r="I789" s="16">
        <f>IFERROR(__xludf.DUMMYFUNCTION("""COMPUTED_VALUE"""),179.88)</f>
        <v>179.88</v>
      </c>
      <c r="J789" s="7"/>
    </row>
    <row r="790">
      <c r="A790" s="7"/>
      <c r="B790" s="7"/>
      <c r="C790" s="7"/>
      <c r="D790" s="7"/>
      <c r="E790" s="7"/>
      <c r="F790" s="7"/>
      <c r="G790" s="7"/>
      <c r="H790" s="15">
        <f>IFERROR(__xludf.DUMMYFUNCTION("""COMPUTED_VALUE"""),43882.66666666667)</f>
        <v>43882.66667</v>
      </c>
      <c r="I790" s="16">
        <f>IFERROR(__xludf.DUMMYFUNCTION("""COMPUTED_VALUE"""),180.2)</f>
        <v>180.2</v>
      </c>
      <c r="J790" s="7"/>
    </row>
    <row r="791">
      <c r="A791" s="7"/>
      <c r="B791" s="7"/>
      <c r="C791" s="7"/>
      <c r="D791" s="7"/>
      <c r="E791" s="7"/>
      <c r="F791" s="7"/>
      <c r="G791" s="7"/>
      <c r="H791" s="15">
        <f>IFERROR(__xludf.DUMMYFUNCTION("""COMPUTED_VALUE"""),43885.66666666667)</f>
        <v>43885.66667</v>
      </c>
      <c r="I791" s="16">
        <f>IFERROR(__xludf.DUMMYFUNCTION("""COMPUTED_VALUE"""),166.76)</f>
        <v>166.76</v>
      </c>
      <c r="J791" s="7"/>
    </row>
    <row r="792">
      <c r="A792" s="7"/>
      <c r="B792" s="7"/>
      <c r="C792" s="7"/>
      <c r="D792" s="7"/>
      <c r="E792" s="7"/>
      <c r="F792" s="7"/>
      <c r="G792" s="7"/>
      <c r="H792" s="15">
        <f>IFERROR(__xludf.DUMMYFUNCTION("""COMPUTED_VALUE"""),43886.66666666667)</f>
        <v>43886.66667</v>
      </c>
      <c r="I792" s="16">
        <f>IFERROR(__xludf.DUMMYFUNCTION("""COMPUTED_VALUE"""),159.98)</f>
        <v>159.98</v>
      </c>
      <c r="J792" s="7"/>
    </row>
    <row r="793">
      <c r="A793" s="7"/>
      <c r="B793" s="7"/>
      <c r="C793" s="7"/>
      <c r="D793" s="7"/>
      <c r="E793" s="7"/>
      <c r="F793" s="7"/>
      <c r="G793" s="7"/>
      <c r="H793" s="15">
        <f>IFERROR(__xludf.DUMMYFUNCTION("""COMPUTED_VALUE"""),43887.66666666667)</f>
        <v>43887.66667</v>
      </c>
      <c r="I793" s="16">
        <f>IFERROR(__xludf.DUMMYFUNCTION("""COMPUTED_VALUE"""),155.76)</f>
        <v>155.76</v>
      </c>
      <c r="J793" s="7"/>
    </row>
    <row r="794">
      <c r="A794" s="7"/>
      <c r="B794" s="7"/>
      <c r="C794" s="7"/>
      <c r="D794" s="7"/>
      <c r="E794" s="7"/>
      <c r="F794" s="7"/>
      <c r="G794" s="7"/>
      <c r="H794" s="15">
        <f>IFERROR(__xludf.DUMMYFUNCTION("""COMPUTED_VALUE"""),43888.66666666667)</f>
        <v>43888.66667</v>
      </c>
      <c r="I794" s="16">
        <f>IFERROR(__xludf.DUMMYFUNCTION("""COMPUTED_VALUE"""),135.8)</f>
        <v>135.8</v>
      </c>
      <c r="J794" s="7"/>
    </row>
    <row r="795">
      <c r="A795" s="7"/>
      <c r="B795" s="7"/>
      <c r="C795" s="7"/>
      <c r="D795" s="7"/>
      <c r="E795" s="7"/>
      <c r="F795" s="7"/>
      <c r="G795" s="7"/>
      <c r="H795" s="15">
        <f>IFERROR(__xludf.DUMMYFUNCTION("""COMPUTED_VALUE"""),43889.66666666667)</f>
        <v>43889.66667</v>
      </c>
      <c r="I795" s="16">
        <f>IFERROR(__xludf.DUMMYFUNCTION("""COMPUTED_VALUE"""),133.6)</f>
        <v>133.6</v>
      </c>
      <c r="J795" s="7"/>
    </row>
    <row r="796">
      <c r="A796" s="7"/>
      <c r="B796" s="7"/>
      <c r="C796" s="7"/>
      <c r="D796" s="7"/>
      <c r="E796" s="7"/>
      <c r="F796" s="7"/>
      <c r="G796" s="7"/>
      <c r="H796" s="15">
        <f>IFERROR(__xludf.DUMMYFUNCTION("""COMPUTED_VALUE"""),43892.66666666667)</f>
        <v>43892.66667</v>
      </c>
      <c r="I796" s="16">
        <f>IFERROR(__xludf.DUMMYFUNCTION("""COMPUTED_VALUE"""),148.72)</f>
        <v>148.72</v>
      </c>
      <c r="J796" s="7"/>
    </row>
    <row r="797">
      <c r="A797" s="7"/>
      <c r="B797" s="7"/>
      <c r="C797" s="7"/>
      <c r="D797" s="7"/>
      <c r="E797" s="7"/>
      <c r="F797" s="7"/>
      <c r="G797" s="7"/>
      <c r="H797" s="15">
        <f>IFERROR(__xludf.DUMMYFUNCTION("""COMPUTED_VALUE"""),43893.66666666667)</f>
        <v>43893.66667</v>
      </c>
      <c r="I797" s="16">
        <f>IFERROR(__xludf.DUMMYFUNCTION("""COMPUTED_VALUE"""),149.1)</f>
        <v>149.1</v>
      </c>
      <c r="J797" s="7"/>
    </row>
    <row r="798">
      <c r="A798" s="7"/>
      <c r="B798" s="7"/>
      <c r="C798" s="7"/>
      <c r="D798" s="7"/>
      <c r="E798" s="7"/>
      <c r="F798" s="7"/>
      <c r="G798" s="7"/>
      <c r="H798" s="15">
        <f>IFERROR(__xludf.DUMMYFUNCTION("""COMPUTED_VALUE"""),43894.66666666667)</f>
        <v>43894.66667</v>
      </c>
      <c r="I798" s="16">
        <f>IFERROR(__xludf.DUMMYFUNCTION("""COMPUTED_VALUE"""),149.9)</f>
        <v>149.9</v>
      </c>
      <c r="J798" s="7"/>
    </row>
    <row r="799">
      <c r="A799" s="7"/>
      <c r="B799" s="7"/>
      <c r="C799" s="7"/>
      <c r="D799" s="7"/>
      <c r="E799" s="7"/>
      <c r="F799" s="7"/>
      <c r="G799" s="7"/>
      <c r="H799" s="15">
        <f>IFERROR(__xludf.DUMMYFUNCTION("""COMPUTED_VALUE"""),43895.66666666667)</f>
        <v>43895.66667</v>
      </c>
      <c r="I799" s="16">
        <f>IFERROR(__xludf.DUMMYFUNCTION("""COMPUTED_VALUE"""),144.91)</f>
        <v>144.91</v>
      </c>
      <c r="J799" s="7"/>
    </row>
    <row r="800">
      <c r="A800" s="7"/>
      <c r="B800" s="7"/>
      <c r="C800" s="7"/>
      <c r="D800" s="7"/>
      <c r="E800" s="7"/>
      <c r="F800" s="7"/>
      <c r="G800" s="7"/>
      <c r="H800" s="15">
        <f>IFERROR(__xludf.DUMMYFUNCTION("""COMPUTED_VALUE"""),43896.66666666667)</f>
        <v>43896.66667</v>
      </c>
      <c r="I800" s="16">
        <f>IFERROR(__xludf.DUMMYFUNCTION("""COMPUTED_VALUE"""),140.7)</f>
        <v>140.7</v>
      </c>
      <c r="J800" s="7"/>
    </row>
    <row r="801">
      <c r="A801" s="7"/>
      <c r="B801" s="7"/>
      <c r="C801" s="7"/>
      <c r="D801" s="7"/>
      <c r="E801" s="7"/>
      <c r="F801" s="7"/>
      <c r="G801" s="7"/>
      <c r="H801" s="15">
        <f>IFERROR(__xludf.DUMMYFUNCTION("""COMPUTED_VALUE"""),43899.66666666667)</f>
        <v>43899.66667</v>
      </c>
      <c r="I801" s="16">
        <f>IFERROR(__xludf.DUMMYFUNCTION("""COMPUTED_VALUE"""),121.6)</f>
        <v>121.6</v>
      </c>
      <c r="J801" s="7"/>
    </row>
    <row r="802">
      <c r="A802" s="7"/>
      <c r="B802" s="7"/>
      <c r="C802" s="7"/>
      <c r="D802" s="7"/>
      <c r="E802" s="7"/>
      <c r="F802" s="7"/>
      <c r="G802" s="7"/>
      <c r="H802" s="15">
        <f>IFERROR(__xludf.DUMMYFUNCTION("""COMPUTED_VALUE"""),43900.66666666667)</f>
        <v>43900.66667</v>
      </c>
      <c r="I802" s="16">
        <f>IFERROR(__xludf.DUMMYFUNCTION("""COMPUTED_VALUE"""),129.07)</f>
        <v>129.07</v>
      </c>
      <c r="J802" s="7"/>
    </row>
    <row r="803">
      <c r="A803" s="7"/>
      <c r="B803" s="7"/>
      <c r="C803" s="7"/>
      <c r="D803" s="7"/>
      <c r="E803" s="7"/>
      <c r="F803" s="7"/>
      <c r="G803" s="7"/>
      <c r="H803" s="15">
        <f>IFERROR(__xludf.DUMMYFUNCTION("""COMPUTED_VALUE"""),43901.66666666667)</f>
        <v>43901.66667</v>
      </c>
      <c r="I803" s="16">
        <f>IFERROR(__xludf.DUMMYFUNCTION("""COMPUTED_VALUE"""),126.85)</f>
        <v>126.85</v>
      </c>
      <c r="J803" s="7"/>
    </row>
    <row r="804">
      <c r="A804" s="7"/>
      <c r="B804" s="7"/>
      <c r="C804" s="7"/>
      <c r="D804" s="7"/>
      <c r="E804" s="7"/>
      <c r="F804" s="7"/>
      <c r="G804" s="7"/>
      <c r="H804" s="15">
        <f>IFERROR(__xludf.DUMMYFUNCTION("""COMPUTED_VALUE"""),43902.66666666667)</f>
        <v>43902.66667</v>
      </c>
      <c r="I804" s="16">
        <f>IFERROR(__xludf.DUMMYFUNCTION("""COMPUTED_VALUE"""),112.11)</f>
        <v>112.11</v>
      </c>
      <c r="J804" s="7"/>
    </row>
    <row r="805">
      <c r="A805" s="7"/>
      <c r="B805" s="7"/>
      <c r="C805" s="7"/>
      <c r="D805" s="7"/>
      <c r="E805" s="7"/>
      <c r="F805" s="7"/>
      <c r="G805" s="7"/>
      <c r="H805" s="15">
        <f>IFERROR(__xludf.DUMMYFUNCTION("""COMPUTED_VALUE"""),43903.66666666667)</f>
        <v>43903.66667</v>
      </c>
      <c r="I805" s="16">
        <f>IFERROR(__xludf.DUMMYFUNCTION("""COMPUTED_VALUE"""),109.32)</f>
        <v>109.32</v>
      </c>
      <c r="J805" s="7"/>
    </row>
    <row r="806">
      <c r="A806" s="7"/>
      <c r="B806" s="7"/>
      <c r="C806" s="7"/>
      <c r="D806" s="7"/>
      <c r="E806" s="7"/>
      <c r="F806" s="7"/>
      <c r="G806" s="7"/>
      <c r="H806" s="15">
        <f>IFERROR(__xludf.DUMMYFUNCTION("""COMPUTED_VALUE"""),43906.66666666667)</f>
        <v>43906.66667</v>
      </c>
      <c r="I806" s="16">
        <f>IFERROR(__xludf.DUMMYFUNCTION("""COMPUTED_VALUE"""),89.01)</f>
        <v>89.01</v>
      </c>
      <c r="J806" s="7"/>
    </row>
    <row r="807">
      <c r="A807" s="7"/>
      <c r="B807" s="7"/>
      <c r="C807" s="7"/>
      <c r="D807" s="7"/>
      <c r="E807" s="7"/>
      <c r="F807" s="7"/>
      <c r="G807" s="7"/>
      <c r="H807" s="15">
        <f>IFERROR(__xludf.DUMMYFUNCTION("""COMPUTED_VALUE"""),43907.66666666667)</f>
        <v>43907.66667</v>
      </c>
      <c r="I807" s="16">
        <f>IFERROR(__xludf.DUMMYFUNCTION("""COMPUTED_VALUE"""),86.04)</f>
        <v>86.04</v>
      </c>
      <c r="J807" s="7"/>
    </row>
    <row r="808">
      <c r="A808" s="7"/>
      <c r="B808" s="7"/>
      <c r="C808" s="7"/>
      <c r="D808" s="7"/>
      <c r="E808" s="7"/>
      <c r="F808" s="7"/>
      <c r="G808" s="7"/>
      <c r="H808" s="15">
        <f>IFERROR(__xludf.DUMMYFUNCTION("""COMPUTED_VALUE"""),43908.66666666667)</f>
        <v>43908.66667</v>
      </c>
      <c r="I808" s="16">
        <f>IFERROR(__xludf.DUMMYFUNCTION("""COMPUTED_VALUE"""),72.24)</f>
        <v>72.24</v>
      </c>
      <c r="J808" s="7"/>
    </row>
    <row r="809">
      <c r="A809" s="7"/>
      <c r="B809" s="7"/>
      <c r="C809" s="7"/>
      <c r="D809" s="7"/>
      <c r="E809" s="7"/>
      <c r="F809" s="7"/>
      <c r="G809" s="7"/>
      <c r="H809" s="15">
        <f>IFERROR(__xludf.DUMMYFUNCTION("""COMPUTED_VALUE"""),43909.66666666667)</f>
        <v>43909.66667</v>
      </c>
      <c r="I809" s="16">
        <f>IFERROR(__xludf.DUMMYFUNCTION("""COMPUTED_VALUE"""),85.53)</f>
        <v>85.53</v>
      </c>
      <c r="J809" s="7"/>
    </row>
    <row r="810">
      <c r="A810" s="7"/>
      <c r="B810" s="7"/>
      <c r="C810" s="7"/>
      <c r="D810" s="7"/>
      <c r="E810" s="7"/>
      <c r="F810" s="7"/>
      <c r="G810" s="7"/>
      <c r="H810" s="15">
        <f>IFERROR(__xludf.DUMMYFUNCTION("""COMPUTED_VALUE"""),43910.66666666667)</f>
        <v>43910.66667</v>
      </c>
      <c r="I810" s="16">
        <f>IFERROR(__xludf.DUMMYFUNCTION("""COMPUTED_VALUE"""),85.51)</f>
        <v>85.51</v>
      </c>
      <c r="J810" s="7"/>
    </row>
    <row r="811">
      <c r="A811" s="7"/>
      <c r="B811" s="7"/>
      <c r="C811" s="7"/>
      <c r="D811" s="7"/>
      <c r="E811" s="7"/>
      <c r="F811" s="7"/>
      <c r="G811" s="7"/>
      <c r="H811" s="15">
        <f>IFERROR(__xludf.DUMMYFUNCTION("""COMPUTED_VALUE"""),43913.66666666667)</f>
        <v>43913.66667</v>
      </c>
      <c r="I811" s="16">
        <f>IFERROR(__xludf.DUMMYFUNCTION("""COMPUTED_VALUE"""),86.86)</f>
        <v>86.86</v>
      </c>
      <c r="J811" s="7"/>
    </row>
    <row r="812">
      <c r="A812" s="7"/>
      <c r="B812" s="7"/>
      <c r="C812" s="7"/>
      <c r="D812" s="7"/>
      <c r="E812" s="7"/>
      <c r="F812" s="7"/>
      <c r="G812" s="7"/>
      <c r="H812" s="15">
        <f>IFERROR(__xludf.DUMMYFUNCTION("""COMPUTED_VALUE"""),43914.66666666667)</f>
        <v>43914.66667</v>
      </c>
      <c r="I812" s="16">
        <f>IFERROR(__xludf.DUMMYFUNCTION("""COMPUTED_VALUE"""),101.0)</f>
        <v>101</v>
      </c>
      <c r="J812" s="7"/>
    </row>
    <row r="813">
      <c r="A813" s="7"/>
      <c r="B813" s="7"/>
      <c r="C813" s="7"/>
      <c r="D813" s="7"/>
      <c r="E813" s="7"/>
      <c r="F813" s="7"/>
      <c r="G813" s="7"/>
      <c r="H813" s="15">
        <f>IFERROR(__xludf.DUMMYFUNCTION("""COMPUTED_VALUE"""),43915.66666666667)</f>
        <v>43915.66667</v>
      </c>
      <c r="I813" s="16">
        <f>IFERROR(__xludf.DUMMYFUNCTION("""COMPUTED_VALUE"""),107.85)</f>
        <v>107.85</v>
      </c>
      <c r="J813" s="7"/>
    </row>
    <row r="814">
      <c r="A814" s="7"/>
      <c r="B814" s="7"/>
      <c r="C814" s="7"/>
      <c r="D814" s="7"/>
      <c r="E814" s="7"/>
      <c r="F814" s="7"/>
      <c r="G814" s="7"/>
      <c r="H814" s="15">
        <f>IFERROR(__xludf.DUMMYFUNCTION("""COMPUTED_VALUE"""),43916.66666666667)</f>
        <v>43916.66667</v>
      </c>
      <c r="I814" s="16">
        <f>IFERROR(__xludf.DUMMYFUNCTION("""COMPUTED_VALUE"""),105.63)</f>
        <v>105.63</v>
      </c>
      <c r="J814" s="7"/>
    </row>
    <row r="815">
      <c r="A815" s="7"/>
      <c r="B815" s="7"/>
      <c r="C815" s="7"/>
      <c r="D815" s="7"/>
      <c r="E815" s="7"/>
      <c r="F815" s="7"/>
      <c r="G815" s="7"/>
      <c r="H815" s="15">
        <f>IFERROR(__xludf.DUMMYFUNCTION("""COMPUTED_VALUE"""),43917.66666666667)</f>
        <v>43917.66667</v>
      </c>
      <c r="I815" s="16">
        <f>IFERROR(__xludf.DUMMYFUNCTION("""COMPUTED_VALUE"""),102.87)</f>
        <v>102.87</v>
      </c>
      <c r="J815" s="7"/>
    </row>
    <row r="816">
      <c r="A816" s="7"/>
      <c r="B816" s="7"/>
      <c r="C816" s="7"/>
      <c r="D816" s="7"/>
      <c r="E816" s="7"/>
      <c r="F816" s="7"/>
      <c r="G816" s="7"/>
      <c r="H816" s="15">
        <f>IFERROR(__xludf.DUMMYFUNCTION("""COMPUTED_VALUE"""),43920.66666666667)</f>
        <v>43920.66667</v>
      </c>
      <c r="I816" s="16">
        <f>IFERROR(__xludf.DUMMYFUNCTION("""COMPUTED_VALUE"""),100.43)</f>
        <v>100.43</v>
      </c>
      <c r="J816" s="7"/>
    </row>
    <row r="817">
      <c r="A817" s="7"/>
      <c r="B817" s="7"/>
      <c r="C817" s="7"/>
      <c r="D817" s="7"/>
      <c r="E817" s="7"/>
      <c r="F817" s="7"/>
      <c r="G817" s="7"/>
      <c r="H817" s="15">
        <f>IFERROR(__xludf.DUMMYFUNCTION("""COMPUTED_VALUE"""),43921.66666666667)</f>
        <v>43921.66667</v>
      </c>
      <c r="I817" s="16">
        <f>IFERROR(__xludf.DUMMYFUNCTION("""COMPUTED_VALUE"""),104.8)</f>
        <v>104.8</v>
      </c>
      <c r="J817" s="7"/>
    </row>
    <row r="818">
      <c r="A818" s="7"/>
      <c r="B818" s="7"/>
      <c r="C818" s="7"/>
      <c r="D818" s="7"/>
      <c r="E818" s="7"/>
      <c r="F818" s="7"/>
      <c r="G818" s="7"/>
      <c r="H818" s="15">
        <f>IFERROR(__xludf.DUMMYFUNCTION("""COMPUTED_VALUE"""),43922.66666666667)</f>
        <v>43922.66667</v>
      </c>
      <c r="I818" s="16">
        <f>IFERROR(__xludf.DUMMYFUNCTION("""COMPUTED_VALUE"""),96.31)</f>
        <v>96.31</v>
      </c>
      <c r="J818" s="7"/>
    </row>
    <row r="819">
      <c r="A819" s="7"/>
      <c r="B819" s="7"/>
      <c r="C819" s="7"/>
      <c r="D819" s="7"/>
      <c r="E819" s="7"/>
      <c r="F819" s="7"/>
      <c r="G819" s="7"/>
      <c r="H819" s="15">
        <f>IFERROR(__xludf.DUMMYFUNCTION("""COMPUTED_VALUE"""),43923.66666666667)</f>
        <v>43923.66667</v>
      </c>
      <c r="I819" s="16">
        <f>IFERROR(__xludf.DUMMYFUNCTION("""COMPUTED_VALUE"""),90.89)</f>
        <v>90.89</v>
      </c>
      <c r="J819" s="7"/>
    </row>
    <row r="820">
      <c r="A820" s="7"/>
      <c r="B820" s="7"/>
      <c r="C820" s="7"/>
      <c r="D820" s="7"/>
      <c r="E820" s="7"/>
      <c r="F820" s="7"/>
      <c r="G820" s="7"/>
      <c r="H820" s="15">
        <f>IFERROR(__xludf.DUMMYFUNCTION("""COMPUTED_VALUE"""),43924.66666666667)</f>
        <v>43924.66667</v>
      </c>
      <c r="I820" s="16">
        <f>IFERROR(__xludf.DUMMYFUNCTION("""COMPUTED_VALUE"""),96.0)</f>
        <v>96</v>
      </c>
      <c r="J820" s="7"/>
    </row>
    <row r="821">
      <c r="A821" s="7"/>
      <c r="B821" s="7"/>
      <c r="C821" s="7"/>
      <c r="D821" s="7"/>
      <c r="E821" s="7"/>
      <c r="F821" s="7"/>
      <c r="G821" s="7"/>
      <c r="H821" s="15">
        <f>IFERROR(__xludf.DUMMYFUNCTION("""COMPUTED_VALUE"""),43927.66666666667)</f>
        <v>43927.66667</v>
      </c>
      <c r="I821" s="16">
        <f>IFERROR(__xludf.DUMMYFUNCTION("""COMPUTED_VALUE"""),103.25)</f>
        <v>103.25</v>
      </c>
      <c r="J821" s="7"/>
    </row>
    <row r="822">
      <c r="A822" s="7"/>
      <c r="B822" s="7"/>
      <c r="C822" s="7"/>
      <c r="D822" s="7"/>
      <c r="E822" s="7"/>
      <c r="F822" s="7"/>
      <c r="G822" s="7"/>
      <c r="H822" s="15">
        <f>IFERROR(__xludf.DUMMYFUNCTION("""COMPUTED_VALUE"""),43928.66666666667)</f>
        <v>43928.66667</v>
      </c>
      <c r="I822" s="16">
        <f>IFERROR(__xludf.DUMMYFUNCTION("""COMPUTED_VALUE"""),109.09)</f>
        <v>109.09</v>
      </c>
      <c r="J822" s="7"/>
    </row>
    <row r="823">
      <c r="A823" s="7"/>
      <c r="B823" s="7"/>
      <c r="C823" s="7"/>
      <c r="D823" s="7"/>
      <c r="E823" s="7"/>
      <c r="F823" s="7"/>
      <c r="G823" s="7"/>
      <c r="H823" s="15">
        <f>IFERROR(__xludf.DUMMYFUNCTION("""COMPUTED_VALUE"""),43929.66666666667)</f>
        <v>43929.66667</v>
      </c>
      <c r="I823" s="16">
        <f>IFERROR(__xludf.DUMMYFUNCTION("""COMPUTED_VALUE"""),109.77)</f>
        <v>109.77</v>
      </c>
      <c r="J823" s="7"/>
    </row>
    <row r="824">
      <c r="A824" s="7"/>
      <c r="B824" s="7"/>
      <c r="C824" s="7"/>
      <c r="D824" s="7"/>
      <c r="E824" s="7"/>
      <c r="F824" s="7"/>
      <c r="G824" s="7"/>
      <c r="H824" s="15">
        <f>IFERROR(__xludf.DUMMYFUNCTION("""COMPUTED_VALUE"""),43930.66666666667)</f>
        <v>43930.66667</v>
      </c>
      <c r="I824" s="16">
        <f>IFERROR(__xludf.DUMMYFUNCTION("""COMPUTED_VALUE"""),114.6)</f>
        <v>114.6</v>
      </c>
      <c r="J824" s="7"/>
    </row>
    <row r="825">
      <c r="A825" s="7"/>
      <c r="B825" s="7"/>
      <c r="C825" s="7"/>
      <c r="D825" s="7"/>
      <c r="E825" s="7"/>
      <c r="F825" s="7"/>
      <c r="G825" s="7"/>
      <c r="H825" s="15">
        <f>IFERROR(__xludf.DUMMYFUNCTION("""COMPUTED_VALUE"""),43934.66666666667)</f>
        <v>43934.66667</v>
      </c>
      <c r="I825" s="16">
        <f>IFERROR(__xludf.DUMMYFUNCTION("""COMPUTED_VALUE"""),130.19)</f>
        <v>130.19</v>
      </c>
      <c r="J825" s="7"/>
    </row>
    <row r="826">
      <c r="A826" s="7"/>
      <c r="B826" s="7"/>
      <c r="C826" s="7"/>
      <c r="D826" s="7"/>
      <c r="E826" s="7"/>
      <c r="F826" s="7"/>
      <c r="G826" s="7"/>
      <c r="H826" s="15">
        <f>IFERROR(__xludf.DUMMYFUNCTION("""COMPUTED_VALUE"""),43935.66666666667)</f>
        <v>43935.66667</v>
      </c>
      <c r="I826" s="16">
        <f>IFERROR(__xludf.DUMMYFUNCTION("""COMPUTED_VALUE"""),141.98)</f>
        <v>141.98</v>
      </c>
      <c r="J826" s="7"/>
    </row>
    <row r="827">
      <c r="A827" s="7"/>
      <c r="B827" s="7"/>
      <c r="C827" s="7"/>
      <c r="D827" s="7"/>
      <c r="E827" s="7"/>
      <c r="F827" s="7"/>
      <c r="G827" s="7"/>
      <c r="H827" s="15">
        <f>IFERROR(__xludf.DUMMYFUNCTION("""COMPUTED_VALUE"""),43936.66666666667)</f>
        <v>43936.66667</v>
      </c>
      <c r="I827" s="16">
        <f>IFERROR(__xludf.DUMMYFUNCTION("""COMPUTED_VALUE"""),145.97)</f>
        <v>145.97</v>
      </c>
      <c r="J827" s="7"/>
    </row>
    <row r="828">
      <c r="A828" s="7"/>
      <c r="B828" s="7"/>
      <c r="C828" s="7"/>
      <c r="D828" s="7"/>
      <c r="E828" s="7"/>
      <c r="F828" s="7"/>
      <c r="G828" s="7"/>
      <c r="H828" s="15">
        <f>IFERROR(__xludf.DUMMYFUNCTION("""COMPUTED_VALUE"""),43937.66666666667)</f>
        <v>43937.66667</v>
      </c>
      <c r="I828" s="16">
        <f>IFERROR(__xludf.DUMMYFUNCTION("""COMPUTED_VALUE"""),149.04)</f>
        <v>149.04</v>
      </c>
      <c r="J828" s="7"/>
    </row>
    <row r="829">
      <c r="A829" s="7"/>
      <c r="B829" s="7"/>
      <c r="C829" s="7"/>
      <c r="D829" s="7"/>
      <c r="E829" s="7"/>
      <c r="F829" s="7"/>
      <c r="G829" s="7"/>
      <c r="H829" s="15">
        <f>IFERROR(__xludf.DUMMYFUNCTION("""COMPUTED_VALUE"""),43938.66666666667)</f>
        <v>43938.66667</v>
      </c>
      <c r="I829" s="16">
        <f>IFERROR(__xludf.DUMMYFUNCTION("""COMPUTED_VALUE"""),150.78)</f>
        <v>150.78</v>
      </c>
      <c r="J829" s="7"/>
    </row>
    <row r="830">
      <c r="A830" s="7"/>
      <c r="B830" s="7"/>
      <c r="C830" s="7"/>
      <c r="D830" s="7"/>
      <c r="E830" s="7"/>
      <c r="F830" s="7"/>
      <c r="G830" s="7"/>
      <c r="H830" s="15">
        <f>IFERROR(__xludf.DUMMYFUNCTION("""COMPUTED_VALUE"""),43941.66666666667)</f>
        <v>43941.66667</v>
      </c>
      <c r="I830" s="16">
        <f>IFERROR(__xludf.DUMMYFUNCTION("""COMPUTED_VALUE"""),149.27)</f>
        <v>149.27</v>
      </c>
      <c r="J830" s="7"/>
    </row>
    <row r="831">
      <c r="A831" s="7"/>
      <c r="B831" s="7"/>
      <c r="C831" s="7"/>
      <c r="D831" s="7"/>
      <c r="E831" s="7"/>
      <c r="F831" s="7"/>
      <c r="G831" s="7"/>
      <c r="H831" s="15">
        <f>IFERROR(__xludf.DUMMYFUNCTION("""COMPUTED_VALUE"""),43942.66666666667)</f>
        <v>43942.66667</v>
      </c>
      <c r="I831" s="16">
        <f>IFERROR(__xludf.DUMMYFUNCTION("""COMPUTED_VALUE"""),137.34)</f>
        <v>137.34</v>
      </c>
      <c r="J831" s="7"/>
    </row>
    <row r="832">
      <c r="A832" s="7"/>
      <c r="B832" s="7"/>
      <c r="C832" s="7"/>
      <c r="D832" s="7"/>
      <c r="E832" s="7"/>
      <c r="F832" s="7"/>
      <c r="G832" s="7"/>
      <c r="H832" s="15">
        <f>IFERROR(__xludf.DUMMYFUNCTION("""COMPUTED_VALUE"""),43943.66666666667)</f>
        <v>43943.66667</v>
      </c>
      <c r="I832" s="16">
        <f>IFERROR(__xludf.DUMMYFUNCTION("""COMPUTED_VALUE"""),146.42)</f>
        <v>146.42</v>
      </c>
      <c r="J832" s="7"/>
    </row>
    <row r="833">
      <c r="A833" s="7"/>
      <c r="B833" s="7"/>
      <c r="C833" s="7"/>
      <c r="D833" s="7"/>
      <c r="E833" s="7"/>
      <c r="F833" s="7"/>
      <c r="G833" s="7"/>
      <c r="H833" s="15">
        <f>IFERROR(__xludf.DUMMYFUNCTION("""COMPUTED_VALUE"""),43944.66666666667)</f>
        <v>43944.66667</v>
      </c>
      <c r="I833" s="16">
        <f>IFERROR(__xludf.DUMMYFUNCTION("""COMPUTED_VALUE"""),141.13)</f>
        <v>141.13</v>
      </c>
      <c r="J833" s="7"/>
    </row>
    <row r="834">
      <c r="A834" s="7"/>
      <c r="B834" s="7"/>
      <c r="C834" s="7"/>
      <c r="D834" s="7"/>
      <c r="E834" s="7"/>
      <c r="F834" s="7"/>
      <c r="G834" s="7"/>
      <c r="H834" s="15">
        <f>IFERROR(__xludf.DUMMYFUNCTION("""COMPUTED_VALUE"""),43945.66666666667)</f>
        <v>43945.66667</v>
      </c>
      <c r="I834" s="16">
        <f>IFERROR(__xludf.DUMMYFUNCTION("""COMPUTED_VALUE"""),145.03)</f>
        <v>145.03</v>
      </c>
      <c r="J834" s="7"/>
    </row>
    <row r="835">
      <c r="A835" s="7"/>
      <c r="B835" s="7"/>
      <c r="C835" s="7"/>
      <c r="D835" s="7"/>
      <c r="E835" s="7"/>
      <c r="F835" s="7"/>
      <c r="G835" s="7"/>
      <c r="H835" s="15">
        <f>IFERROR(__xludf.DUMMYFUNCTION("""COMPUTED_VALUE"""),43948.66666666667)</f>
        <v>43948.66667</v>
      </c>
      <c r="I835" s="16">
        <f>IFERROR(__xludf.DUMMYFUNCTION("""COMPUTED_VALUE"""),159.75)</f>
        <v>159.75</v>
      </c>
      <c r="J835" s="7"/>
    </row>
    <row r="836">
      <c r="A836" s="7"/>
      <c r="B836" s="7"/>
      <c r="C836" s="7"/>
      <c r="D836" s="7"/>
      <c r="E836" s="7"/>
      <c r="F836" s="7"/>
      <c r="G836" s="7"/>
      <c r="H836" s="15">
        <f>IFERROR(__xludf.DUMMYFUNCTION("""COMPUTED_VALUE"""),43949.66666666667)</f>
        <v>43949.66667</v>
      </c>
      <c r="I836" s="16">
        <f>IFERROR(__xludf.DUMMYFUNCTION("""COMPUTED_VALUE"""),153.82)</f>
        <v>153.82</v>
      </c>
      <c r="J836" s="7"/>
    </row>
    <row r="837">
      <c r="A837" s="7"/>
      <c r="B837" s="7"/>
      <c r="C837" s="7"/>
      <c r="D837" s="7"/>
      <c r="E837" s="7"/>
      <c r="F837" s="7"/>
      <c r="G837" s="7"/>
      <c r="H837" s="15">
        <f>IFERROR(__xludf.DUMMYFUNCTION("""COMPUTED_VALUE"""),43950.66666666667)</f>
        <v>43950.66667</v>
      </c>
      <c r="I837" s="16">
        <f>IFERROR(__xludf.DUMMYFUNCTION("""COMPUTED_VALUE"""),160.1)</f>
        <v>160.1</v>
      </c>
      <c r="J837" s="7"/>
    </row>
    <row r="838">
      <c r="A838" s="7"/>
      <c r="B838" s="7"/>
      <c r="C838" s="7"/>
      <c r="D838" s="7"/>
      <c r="E838" s="7"/>
      <c r="F838" s="7"/>
      <c r="G838" s="7"/>
      <c r="H838" s="15">
        <f>IFERROR(__xludf.DUMMYFUNCTION("""COMPUTED_VALUE"""),43951.66666666667)</f>
        <v>43951.66667</v>
      </c>
      <c r="I838" s="16">
        <f>IFERROR(__xludf.DUMMYFUNCTION("""COMPUTED_VALUE"""),156.38)</f>
        <v>156.38</v>
      </c>
      <c r="J838" s="7"/>
    </row>
    <row r="839">
      <c r="A839" s="7"/>
      <c r="B839" s="7"/>
      <c r="C839" s="7"/>
      <c r="D839" s="7"/>
      <c r="E839" s="7"/>
      <c r="F839" s="7"/>
      <c r="G839" s="7"/>
      <c r="H839" s="15">
        <f>IFERROR(__xludf.DUMMYFUNCTION("""COMPUTED_VALUE"""),43952.66666666667)</f>
        <v>43952.66667</v>
      </c>
      <c r="I839" s="16">
        <f>IFERROR(__xludf.DUMMYFUNCTION("""COMPUTED_VALUE"""),140.26)</f>
        <v>140.26</v>
      </c>
      <c r="J839" s="7"/>
    </row>
    <row r="840">
      <c r="A840" s="7"/>
      <c r="B840" s="7"/>
      <c r="C840" s="7"/>
      <c r="D840" s="7"/>
      <c r="E840" s="7"/>
      <c r="F840" s="7"/>
      <c r="G840" s="7"/>
      <c r="H840" s="15">
        <f>IFERROR(__xludf.DUMMYFUNCTION("""COMPUTED_VALUE"""),43955.66666666667)</f>
        <v>43955.66667</v>
      </c>
      <c r="I840" s="16">
        <f>IFERROR(__xludf.DUMMYFUNCTION("""COMPUTED_VALUE"""),152.24)</f>
        <v>152.24</v>
      </c>
      <c r="J840" s="7"/>
    </row>
    <row r="841">
      <c r="A841" s="7"/>
      <c r="B841" s="7"/>
      <c r="C841" s="7"/>
      <c r="D841" s="7"/>
      <c r="E841" s="7"/>
      <c r="F841" s="7"/>
      <c r="G841" s="7"/>
      <c r="H841" s="15">
        <f>IFERROR(__xludf.DUMMYFUNCTION("""COMPUTED_VALUE"""),43956.66666666667)</f>
        <v>43956.66667</v>
      </c>
      <c r="I841" s="16">
        <f>IFERROR(__xludf.DUMMYFUNCTION("""COMPUTED_VALUE"""),153.64)</f>
        <v>153.64</v>
      </c>
      <c r="J841" s="7"/>
    </row>
    <row r="842">
      <c r="A842" s="7"/>
      <c r="B842" s="7"/>
      <c r="C842" s="7"/>
      <c r="D842" s="7"/>
      <c r="E842" s="7"/>
      <c r="F842" s="7"/>
      <c r="G842" s="7"/>
      <c r="H842" s="15">
        <f>IFERROR(__xludf.DUMMYFUNCTION("""COMPUTED_VALUE"""),43957.66666666667)</f>
        <v>43957.66667</v>
      </c>
      <c r="I842" s="16">
        <f>IFERROR(__xludf.DUMMYFUNCTION("""COMPUTED_VALUE"""),156.52)</f>
        <v>156.52</v>
      </c>
      <c r="J842" s="7"/>
    </row>
    <row r="843">
      <c r="A843" s="7"/>
      <c r="B843" s="7"/>
      <c r="C843" s="7"/>
      <c r="D843" s="7"/>
      <c r="E843" s="7"/>
      <c r="F843" s="7"/>
      <c r="G843" s="7"/>
      <c r="H843" s="15">
        <f>IFERROR(__xludf.DUMMYFUNCTION("""COMPUTED_VALUE"""),43958.66666666667)</f>
        <v>43958.66667</v>
      </c>
      <c r="I843" s="16">
        <f>IFERROR(__xludf.DUMMYFUNCTION("""COMPUTED_VALUE"""),156.01)</f>
        <v>156.01</v>
      </c>
      <c r="J843" s="7"/>
    </row>
    <row r="844">
      <c r="A844" s="7"/>
      <c r="B844" s="7"/>
      <c r="C844" s="7"/>
      <c r="D844" s="7"/>
      <c r="E844" s="7"/>
      <c r="F844" s="7"/>
      <c r="G844" s="7"/>
      <c r="H844" s="15">
        <f>IFERROR(__xludf.DUMMYFUNCTION("""COMPUTED_VALUE"""),43959.66666666667)</f>
        <v>43959.66667</v>
      </c>
      <c r="I844" s="16">
        <f>IFERROR(__xludf.DUMMYFUNCTION("""COMPUTED_VALUE"""),163.88)</f>
        <v>163.88</v>
      </c>
      <c r="J844" s="7"/>
    </row>
    <row r="845">
      <c r="A845" s="7"/>
      <c r="B845" s="7"/>
      <c r="C845" s="7"/>
      <c r="D845" s="7"/>
      <c r="E845" s="7"/>
      <c r="F845" s="7"/>
      <c r="G845" s="7"/>
      <c r="H845" s="15">
        <f>IFERROR(__xludf.DUMMYFUNCTION("""COMPUTED_VALUE"""),43962.66666666667)</f>
        <v>43962.66667</v>
      </c>
      <c r="I845" s="16">
        <f>IFERROR(__xludf.DUMMYFUNCTION("""COMPUTED_VALUE"""),162.26)</f>
        <v>162.26</v>
      </c>
      <c r="J845" s="7"/>
    </row>
    <row r="846">
      <c r="A846" s="7"/>
      <c r="B846" s="7"/>
      <c r="C846" s="7"/>
      <c r="D846" s="7"/>
      <c r="E846" s="7"/>
      <c r="F846" s="7"/>
      <c r="G846" s="7"/>
      <c r="H846" s="15">
        <f>IFERROR(__xludf.DUMMYFUNCTION("""COMPUTED_VALUE"""),43963.66666666667)</f>
        <v>43963.66667</v>
      </c>
      <c r="I846" s="16">
        <f>IFERROR(__xludf.DUMMYFUNCTION("""COMPUTED_VALUE"""),161.88)</f>
        <v>161.88</v>
      </c>
      <c r="J846" s="7"/>
    </row>
    <row r="847">
      <c r="A847" s="7"/>
      <c r="B847" s="7"/>
      <c r="C847" s="7"/>
      <c r="D847" s="7"/>
      <c r="E847" s="7"/>
      <c r="F847" s="7"/>
      <c r="G847" s="7"/>
      <c r="H847" s="15">
        <f>IFERROR(__xludf.DUMMYFUNCTION("""COMPUTED_VALUE"""),43964.66666666667)</f>
        <v>43964.66667</v>
      </c>
      <c r="I847" s="16">
        <f>IFERROR(__xludf.DUMMYFUNCTION("""COMPUTED_VALUE"""),158.19)</f>
        <v>158.19</v>
      </c>
      <c r="J847" s="7"/>
    </row>
    <row r="848">
      <c r="A848" s="7"/>
      <c r="B848" s="7"/>
      <c r="C848" s="7"/>
      <c r="D848" s="7"/>
      <c r="E848" s="7"/>
      <c r="F848" s="7"/>
      <c r="G848" s="7"/>
      <c r="H848" s="15">
        <f>IFERROR(__xludf.DUMMYFUNCTION("""COMPUTED_VALUE"""),43965.66666666667)</f>
        <v>43965.66667</v>
      </c>
      <c r="I848" s="16">
        <f>IFERROR(__xludf.DUMMYFUNCTION("""COMPUTED_VALUE"""),160.67)</f>
        <v>160.67</v>
      </c>
      <c r="J848" s="7"/>
    </row>
    <row r="849">
      <c r="A849" s="7"/>
      <c r="B849" s="7"/>
      <c r="C849" s="7"/>
      <c r="D849" s="7"/>
      <c r="E849" s="7"/>
      <c r="F849" s="7"/>
      <c r="G849" s="7"/>
      <c r="H849" s="15">
        <f>IFERROR(__xludf.DUMMYFUNCTION("""COMPUTED_VALUE"""),43966.66666666667)</f>
        <v>43966.66667</v>
      </c>
      <c r="I849" s="16">
        <f>IFERROR(__xludf.DUMMYFUNCTION("""COMPUTED_VALUE"""),159.83)</f>
        <v>159.83</v>
      </c>
      <c r="J849" s="7"/>
    </row>
    <row r="850">
      <c r="A850" s="7"/>
      <c r="B850" s="7"/>
      <c r="C850" s="7"/>
      <c r="D850" s="7"/>
      <c r="E850" s="7"/>
      <c r="F850" s="7"/>
      <c r="G850" s="7"/>
      <c r="H850" s="15">
        <f>IFERROR(__xludf.DUMMYFUNCTION("""COMPUTED_VALUE"""),43969.66666666667)</f>
        <v>43969.66667</v>
      </c>
      <c r="I850" s="16">
        <f>IFERROR(__xludf.DUMMYFUNCTION("""COMPUTED_VALUE"""),162.73)</f>
        <v>162.73</v>
      </c>
      <c r="J850" s="7"/>
    </row>
    <row r="851">
      <c r="A851" s="7"/>
      <c r="B851" s="7"/>
      <c r="C851" s="7"/>
      <c r="D851" s="7"/>
      <c r="E851" s="7"/>
      <c r="F851" s="7"/>
      <c r="G851" s="7"/>
      <c r="H851" s="15">
        <f>IFERROR(__xludf.DUMMYFUNCTION("""COMPUTED_VALUE"""),43970.66666666667)</f>
        <v>43970.66667</v>
      </c>
      <c r="I851" s="16">
        <f>IFERROR(__xludf.DUMMYFUNCTION("""COMPUTED_VALUE"""),161.6)</f>
        <v>161.6</v>
      </c>
      <c r="J851" s="7"/>
    </row>
    <row r="852">
      <c r="A852" s="7"/>
      <c r="B852" s="7"/>
      <c r="C852" s="7"/>
      <c r="D852" s="7"/>
      <c r="E852" s="7"/>
      <c r="F852" s="7"/>
      <c r="G852" s="7"/>
      <c r="H852" s="15">
        <f>IFERROR(__xludf.DUMMYFUNCTION("""COMPUTED_VALUE"""),43971.66666666667)</f>
        <v>43971.66667</v>
      </c>
      <c r="I852" s="16">
        <f>IFERROR(__xludf.DUMMYFUNCTION("""COMPUTED_VALUE"""),163.11)</f>
        <v>163.11</v>
      </c>
      <c r="J852" s="7"/>
    </row>
    <row r="853">
      <c r="A853" s="7"/>
      <c r="B853" s="7"/>
      <c r="C853" s="7"/>
      <c r="D853" s="7"/>
      <c r="E853" s="7"/>
      <c r="F853" s="7"/>
      <c r="G853" s="7"/>
      <c r="H853" s="15">
        <f>IFERROR(__xludf.DUMMYFUNCTION("""COMPUTED_VALUE"""),43972.66666666667)</f>
        <v>43972.66667</v>
      </c>
      <c r="I853" s="16">
        <f>IFERROR(__xludf.DUMMYFUNCTION("""COMPUTED_VALUE"""),165.52)</f>
        <v>165.52</v>
      </c>
      <c r="J853" s="7"/>
    </row>
    <row r="854">
      <c r="A854" s="7"/>
      <c r="B854" s="7"/>
      <c r="C854" s="7"/>
      <c r="D854" s="7"/>
      <c r="E854" s="7"/>
      <c r="F854" s="7"/>
      <c r="G854" s="7"/>
      <c r="H854" s="15">
        <f>IFERROR(__xludf.DUMMYFUNCTION("""COMPUTED_VALUE"""),43973.66666666667)</f>
        <v>43973.66667</v>
      </c>
      <c r="I854" s="16">
        <f>IFERROR(__xludf.DUMMYFUNCTION("""COMPUTED_VALUE"""),163.38)</f>
        <v>163.38</v>
      </c>
      <c r="J854" s="7"/>
    </row>
    <row r="855">
      <c r="A855" s="7"/>
      <c r="B855" s="7"/>
      <c r="C855" s="7"/>
      <c r="D855" s="7"/>
      <c r="E855" s="7"/>
      <c r="F855" s="7"/>
      <c r="G855" s="7"/>
      <c r="H855" s="15">
        <f>IFERROR(__xludf.DUMMYFUNCTION("""COMPUTED_VALUE"""),43977.66666666667)</f>
        <v>43977.66667</v>
      </c>
      <c r="I855" s="16">
        <f>IFERROR(__xludf.DUMMYFUNCTION("""COMPUTED_VALUE"""),163.77)</f>
        <v>163.77</v>
      </c>
      <c r="J855" s="7"/>
    </row>
    <row r="856">
      <c r="A856" s="7"/>
      <c r="B856" s="7"/>
      <c r="C856" s="7"/>
      <c r="D856" s="7"/>
      <c r="E856" s="7"/>
      <c r="F856" s="7"/>
      <c r="G856" s="7"/>
      <c r="H856" s="15">
        <f>IFERROR(__xludf.DUMMYFUNCTION("""COMPUTED_VALUE"""),43978.66666666667)</f>
        <v>43978.66667</v>
      </c>
      <c r="I856" s="16">
        <f>IFERROR(__xludf.DUMMYFUNCTION("""COMPUTED_VALUE"""),164.05)</f>
        <v>164.05</v>
      </c>
      <c r="J856" s="7"/>
    </row>
    <row r="857">
      <c r="A857" s="7"/>
      <c r="B857" s="7"/>
      <c r="C857" s="7"/>
      <c r="D857" s="7"/>
      <c r="E857" s="7"/>
      <c r="F857" s="7"/>
      <c r="G857" s="7"/>
      <c r="H857" s="15">
        <f>IFERROR(__xludf.DUMMYFUNCTION("""COMPUTED_VALUE"""),43979.66666666667)</f>
        <v>43979.66667</v>
      </c>
      <c r="I857" s="16">
        <f>IFERROR(__xludf.DUMMYFUNCTION("""COMPUTED_VALUE"""),161.16)</f>
        <v>161.16</v>
      </c>
      <c r="J857" s="7"/>
    </row>
    <row r="858">
      <c r="A858" s="7"/>
      <c r="B858" s="7"/>
      <c r="C858" s="7"/>
      <c r="D858" s="7"/>
      <c r="E858" s="7"/>
      <c r="F858" s="7"/>
      <c r="G858" s="7"/>
      <c r="H858" s="15">
        <f>IFERROR(__xludf.DUMMYFUNCTION("""COMPUTED_VALUE"""),43980.66666666667)</f>
        <v>43980.66667</v>
      </c>
      <c r="I858" s="16">
        <f>IFERROR(__xludf.DUMMYFUNCTION("""COMPUTED_VALUE"""),167.0)</f>
        <v>167</v>
      </c>
      <c r="J858" s="7"/>
    </row>
    <row r="859">
      <c r="A859" s="7"/>
      <c r="B859" s="7"/>
      <c r="C859" s="7"/>
      <c r="D859" s="7"/>
      <c r="E859" s="7"/>
      <c r="F859" s="7"/>
      <c r="G859" s="7"/>
      <c r="H859" s="15">
        <f>IFERROR(__xludf.DUMMYFUNCTION("""COMPUTED_VALUE"""),43983.66666666667)</f>
        <v>43983.66667</v>
      </c>
      <c r="I859" s="16">
        <f>IFERROR(__xludf.DUMMYFUNCTION("""COMPUTED_VALUE"""),179.62)</f>
        <v>179.62</v>
      </c>
      <c r="J859" s="7"/>
    </row>
    <row r="860">
      <c r="A860" s="7"/>
      <c r="B860" s="7"/>
      <c r="C860" s="7"/>
      <c r="D860" s="7"/>
      <c r="E860" s="7"/>
      <c r="F860" s="7"/>
      <c r="G860" s="7"/>
      <c r="H860" s="15">
        <f>IFERROR(__xludf.DUMMYFUNCTION("""COMPUTED_VALUE"""),43984.66666666667)</f>
        <v>43984.66667</v>
      </c>
      <c r="I860" s="16">
        <f>IFERROR(__xludf.DUMMYFUNCTION("""COMPUTED_VALUE"""),176.31)</f>
        <v>176.31</v>
      </c>
      <c r="J860" s="7"/>
    </row>
    <row r="861">
      <c r="A861" s="7"/>
      <c r="B861" s="7"/>
      <c r="C861" s="7"/>
      <c r="D861" s="7"/>
      <c r="E861" s="7"/>
      <c r="F861" s="7"/>
      <c r="G861" s="7"/>
      <c r="H861" s="15">
        <f>IFERROR(__xludf.DUMMYFUNCTION("""COMPUTED_VALUE"""),43985.66666666667)</f>
        <v>43985.66667</v>
      </c>
      <c r="I861" s="16">
        <f>IFERROR(__xludf.DUMMYFUNCTION("""COMPUTED_VALUE"""),176.59)</f>
        <v>176.59</v>
      </c>
      <c r="J861" s="7"/>
    </row>
    <row r="862">
      <c r="A862" s="7"/>
      <c r="B862" s="7"/>
      <c r="C862" s="7"/>
      <c r="D862" s="7"/>
      <c r="E862" s="7"/>
      <c r="F862" s="7"/>
      <c r="G862" s="7"/>
      <c r="H862" s="15">
        <f>IFERROR(__xludf.DUMMYFUNCTION("""COMPUTED_VALUE"""),43986.66666666667)</f>
        <v>43986.66667</v>
      </c>
      <c r="I862" s="16">
        <f>IFERROR(__xludf.DUMMYFUNCTION("""COMPUTED_VALUE"""),172.88)</f>
        <v>172.88</v>
      </c>
      <c r="J862" s="7"/>
    </row>
    <row r="863">
      <c r="A863" s="7"/>
      <c r="B863" s="7"/>
      <c r="C863" s="7"/>
      <c r="D863" s="7"/>
      <c r="E863" s="7"/>
      <c r="F863" s="7"/>
      <c r="G863" s="7"/>
      <c r="H863" s="15">
        <f>IFERROR(__xludf.DUMMYFUNCTION("""COMPUTED_VALUE"""),43987.66666666667)</f>
        <v>43987.66667</v>
      </c>
      <c r="I863" s="16">
        <f>IFERROR(__xludf.DUMMYFUNCTION("""COMPUTED_VALUE"""),177.13)</f>
        <v>177.13</v>
      </c>
      <c r="J863" s="7"/>
    </row>
    <row r="864">
      <c r="A864" s="7"/>
      <c r="B864" s="7"/>
      <c r="C864" s="7"/>
      <c r="D864" s="7"/>
      <c r="E864" s="7"/>
      <c r="F864" s="7"/>
      <c r="G864" s="7"/>
      <c r="H864" s="15">
        <f>IFERROR(__xludf.DUMMYFUNCTION("""COMPUTED_VALUE"""),43990.66666666667)</f>
        <v>43990.66667</v>
      </c>
      <c r="I864" s="16">
        <f>IFERROR(__xludf.DUMMYFUNCTION("""COMPUTED_VALUE"""),189.98)</f>
        <v>189.98</v>
      </c>
      <c r="J864" s="7"/>
    </row>
    <row r="865">
      <c r="A865" s="7"/>
      <c r="B865" s="7"/>
      <c r="C865" s="7"/>
      <c r="D865" s="7"/>
      <c r="E865" s="7"/>
      <c r="F865" s="7"/>
      <c r="G865" s="7"/>
      <c r="H865" s="15">
        <f>IFERROR(__xludf.DUMMYFUNCTION("""COMPUTED_VALUE"""),43991.66666666667)</f>
        <v>43991.66667</v>
      </c>
      <c r="I865" s="16">
        <f>IFERROR(__xludf.DUMMYFUNCTION("""COMPUTED_VALUE"""),188.13)</f>
        <v>188.13</v>
      </c>
      <c r="J865" s="7"/>
    </row>
    <row r="866">
      <c r="A866" s="7"/>
      <c r="B866" s="7"/>
      <c r="C866" s="7"/>
      <c r="D866" s="7"/>
      <c r="E866" s="7"/>
      <c r="F866" s="7"/>
      <c r="G866" s="7"/>
      <c r="H866" s="15">
        <f>IFERROR(__xludf.DUMMYFUNCTION("""COMPUTED_VALUE"""),43992.66666666667)</f>
        <v>43992.66667</v>
      </c>
      <c r="I866" s="16">
        <f>IFERROR(__xludf.DUMMYFUNCTION("""COMPUTED_VALUE"""),205.01)</f>
        <v>205.01</v>
      </c>
      <c r="J866" s="7"/>
    </row>
    <row r="867">
      <c r="A867" s="7"/>
      <c r="B867" s="7"/>
      <c r="C867" s="7"/>
      <c r="D867" s="7"/>
      <c r="E867" s="7"/>
      <c r="F867" s="7"/>
      <c r="G867" s="7"/>
      <c r="H867" s="15">
        <f>IFERROR(__xludf.DUMMYFUNCTION("""COMPUTED_VALUE"""),43993.66666666667)</f>
        <v>43993.66667</v>
      </c>
      <c r="I867" s="16">
        <f>IFERROR(__xludf.DUMMYFUNCTION("""COMPUTED_VALUE"""),194.57)</f>
        <v>194.57</v>
      </c>
      <c r="J867" s="7"/>
    </row>
    <row r="868">
      <c r="A868" s="7"/>
      <c r="B868" s="7"/>
      <c r="C868" s="7"/>
      <c r="D868" s="7"/>
      <c r="E868" s="7"/>
      <c r="F868" s="7"/>
      <c r="G868" s="7"/>
      <c r="H868" s="15">
        <f>IFERROR(__xludf.DUMMYFUNCTION("""COMPUTED_VALUE"""),43994.66666666667)</f>
        <v>43994.66667</v>
      </c>
      <c r="I868" s="16">
        <f>IFERROR(__xludf.DUMMYFUNCTION("""COMPUTED_VALUE"""),187.06)</f>
        <v>187.06</v>
      </c>
      <c r="J868" s="7"/>
    </row>
    <row r="869">
      <c r="A869" s="7"/>
      <c r="B869" s="7"/>
      <c r="C869" s="7"/>
      <c r="D869" s="7"/>
      <c r="E869" s="7"/>
      <c r="F869" s="7"/>
      <c r="G869" s="7"/>
      <c r="H869" s="15">
        <f>IFERROR(__xludf.DUMMYFUNCTION("""COMPUTED_VALUE"""),43997.66666666667)</f>
        <v>43997.66667</v>
      </c>
      <c r="I869" s="16">
        <f>IFERROR(__xludf.DUMMYFUNCTION("""COMPUTED_VALUE"""),198.18)</f>
        <v>198.18</v>
      </c>
      <c r="J869" s="7"/>
    </row>
    <row r="870">
      <c r="A870" s="7"/>
      <c r="B870" s="7"/>
      <c r="C870" s="7"/>
      <c r="D870" s="7"/>
      <c r="E870" s="7"/>
      <c r="F870" s="7"/>
      <c r="G870" s="7"/>
      <c r="H870" s="15">
        <f>IFERROR(__xludf.DUMMYFUNCTION("""COMPUTED_VALUE"""),43998.66666666667)</f>
        <v>43998.66667</v>
      </c>
      <c r="I870" s="16">
        <f>IFERROR(__xludf.DUMMYFUNCTION("""COMPUTED_VALUE"""),196.43)</f>
        <v>196.43</v>
      </c>
      <c r="J870" s="7"/>
    </row>
    <row r="871">
      <c r="A871" s="7"/>
      <c r="B871" s="7"/>
      <c r="C871" s="7"/>
      <c r="D871" s="7"/>
      <c r="E871" s="7"/>
      <c r="F871" s="7"/>
      <c r="G871" s="7"/>
      <c r="H871" s="15">
        <f>IFERROR(__xludf.DUMMYFUNCTION("""COMPUTED_VALUE"""),43999.66666666667)</f>
        <v>43999.66667</v>
      </c>
      <c r="I871" s="16">
        <f>IFERROR(__xludf.DUMMYFUNCTION("""COMPUTED_VALUE"""),198.36)</f>
        <v>198.36</v>
      </c>
      <c r="J871" s="7"/>
    </row>
    <row r="872">
      <c r="A872" s="7"/>
      <c r="B872" s="7"/>
      <c r="C872" s="7"/>
      <c r="D872" s="7"/>
      <c r="E872" s="7"/>
      <c r="F872" s="7"/>
      <c r="G872" s="7"/>
      <c r="H872" s="15">
        <f>IFERROR(__xludf.DUMMYFUNCTION("""COMPUTED_VALUE"""),44000.66666666667)</f>
        <v>44000.66667</v>
      </c>
      <c r="I872" s="16">
        <f>IFERROR(__xludf.DUMMYFUNCTION("""COMPUTED_VALUE"""),200.79)</f>
        <v>200.79</v>
      </c>
      <c r="J872" s="7"/>
    </row>
    <row r="873">
      <c r="A873" s="7"/>
      <c r="B873" s="7"/>
      <c r="C873" s="7"/>
      <c r="D873" s="7"/>
      <c r="E873" s="7"/>
      <c r="F873" s="7"/>
      <c r="G873" s="7"/>
      <c r="H873" s="15">
        <f>IFERROR(__xludf.DUMMYFUNCTION("""COMPUTED_VALUE"""),44001.66666666667)</f>
        <v>44001.66667</v>
      </c>
      <c r="I873" s="16">
        <f>IFERROR(__xludf.DUMMYFUNCTION("""COMPUTED_VALUE"""),200.18)</f>
        <v>200.18</v>
      </c>
      <c r="J873" s="7"/>
    </row>
    <row r="874">
      <c r="A874" s="7"/>
      <c r="B874" s="7"/>
      <c r="C874" s="7"/>
      <c r="D874" s="7"/>
      <c r="E874" s="7"/>
      <c r="F874" s="7"/>
      <c r="G874" s="7"/>
      <c r="H874" s="15">
        <f>IFERROR(__xludf.DUMMYFUNCTION("""COMPUTED_VALUE"""),44004.66666666667)</f>
        <v>44004.66667</v>
      </c>
      <c r="I874" s="16">
        <f>IFERROR(__xludf.DUMMYFUNCTION("""COMPUTED_VALUE"""),198.86)</f>
        <v>198.86</v>
      </c>
      <c r="J874" s="7"/>
    </row>
    <row r="875">
      <c r="A875" s="7"/>
      <c r="B875" s="7"/>
      <c r="C875" s="7"/>
      <c r="D875" s="7"/>
      <c r="E875" s="7"/>
      <c r="F875" s="7"/>
      <c r="G875" s="7"/>
      <c r="H875" s="15">
        <f>IFERROR(__xludf.DUMMYFUNCTION("""COMPUTED_VALUE"""),44005.66666666667)</f>
        <v>44005.66667</v>
      </c>
      <c r="I875" s="16">
        <f>IFERROR(__xludf.DUMMYFUNCTION("""COMPUTED_VALUE"""),200.36)</f>
        <v>200.36</v>
      </c>
      <c r="J875" s="7"/>
    </row>
    <row r="876">
      <c r="A876" s="7"/>
      <c r="B876" s="7"/>
      <c r="C876" s="7"/>
      <c r="D876" s="7"/>
      <c r="E876" s="7"/>
      <c r="F876" s="7"/>
      <c r="G876" s="7"/>
      <c r="H876" s="15">
        <f>IFERROR(__xludf.DUMMYFUNCTION("""COMPUTED_VALUE"""),44006.66666666667)</f>
        <v>44006.66667</v>
      </c>
      <c r="I876" s="16">
        <f>IFERROR(__xludf.DUMMYFUNCTION("""COMPUTED_VALUE"""),192.17)</f>
        <v>192.17</v>
      </c>
      <c r="J876" s="7"/>
    </row>
    <row r="877">
      <c r="A877" s="7"/>
      <c r="B877" s="7"/>
      <c r="C877" s="7"/>
      <c r="D877" s="7"/>
      <c r="E877" s="7"/>
      <c r="F877" s="7"/>
      <c r="G877" s="7"/>
      <c r="H877" s="15">
        <f>IFERROR(__xludf.DUMMYFUNCTION("""COMPUTED_VALUE"""),44007.66666666667)</f>
        <v>44007.66667</v>
      </c>
      <c r="I877" s="16">
        <f>IFERROR(__xludf.DUMMYFUNCTION("""COMPUTED_VALUE"""),197.2)</f>
        <v>197.2</v>
      </c>
      <c r="J877" s="7"/>
    </row>
    <row r="878">
      <c r="A878" s="7"/>
      <c r="B878" s="7"/>
      <c r="C878" s="7"/>
      <c r="D878" s="7"/>
      <c r="E878" s="7"/>
      <c r="F878" s="7"/>
      <c r="G878" s="7"/>
      <c r="H878" s="15">
        <f>IFERROR(__xludf.DUMMYFUNCTION("""COMPUTED_VALUE"""),44008.66666666667)</f>
        <v>44008.66667</v>
      </c>
      <c r="I878" s="16">
        <f>IFERROR(__xludf.DUMMYFUNCTION("""COMPUTED_VALUE"""),191.95)</f>
        <v>191.95</v>
      </c>
      <c r="J878" s="7"/>
    </row>
    <row r="879">
      <c r="A879" s="7"/>
      <c r="B879" s="7"/>
      <c r="C879" s="7"/>
      <c r="D879" s="7"/>
      <c r="E879" s="7"/>
      <c r="F879" s="7"/>
      <c r="G879" s="7"/>
      <c r="H879" s="15">
        <f>IFERROR(__xludf.DUMMYFUNCTION("""COMPUTED_VALUE"""),44011.66666666667)</f>
        <v>44011.66667</v>
      </c>
      <c r="I879" s="16">
        <f>IFERROR(__xludf.DUMMYFUNCTION("""COMPUTED_VALUE"""),201.87)</f>
        <v>201.87</v>
      </c>
      <c r="J879" s="7"/>
    </row>
    <row r="880">
      <c r="A880" s="7"/>
      <c r="B880" s="7"/>
      <c r="C880" s="7"/>
      <c r="D880" s="7"/>
      <c r="E880" s="7"/>
      <c r="F880" s="7"/>
      <c r="G880" s="7"/>
      <c r="H880" s="15">
        <f>IFERROR(__xludf.DUMMYFUNCTION("""COMPUTED_VALUE"""),44012.66666666667)</f>
        <v>44012.66667</v>
      </c>
      <c r="I880" s="16">
        <f>IFERROR(__xludf.DUMMYFUNCTION("""COMPUTED_VALUE"""),215.96)</f>
        <v>215.96</v>
      </c>
      <c r="J880" s="7"/>
    </row>
    <row r="881">
      <c r="A881" s="7"/>
      <c r="B881" s="7"/>
      <c r="C881" s="7"/>
      <c r="D881" s="7"/>
      <c r="E881" s="7"/>
      <c r="F881" s="7"/>
      <c r="G881" s="7"/>
      <c r="H881" s="15">
        <f>IFERROR(__xludf.DUMMYFUNCTION("""COMPUTED_VALUE"""),44013.66666666667)</f>
        <v>44013.66667</v>
      </c>
      <c r="I881" s="16">
        <f>IFERROR(__xludf.DUMMYFUNCTION("""COMPUTED_VALUE"""),223.93)</f>
        <v>223.93</v>
      </c>
      <c r="J881" s="7"/>
    </row>
    <row r="882">
      <c r="A882" s="7"/>
      <c r="B882" s="7"/>
      <c r="C882" s="7"/>
      <c r="D882" s="7"/>
      <c r="E882" s="7"/>
      <c r="F882" s="7"/>
      <c r="G882" s="7"/>
      <c r="H882" s="15">
        <f>IFERROR(__xludf.DUMMYFUNCTION("""COMPUTED_VALUE"""),44014.66666666667)</f>
        <v>44014.66667</v>
      </c>
      <c r="I882" s="16">
        <f>IFERROR(__xludf.DUMMYFUNCTION("""COMPUTED_VALUE"""),241.73)</f>
        <v>241.73</v>
      </c>
      <c r="J882" s="7"/>
    </row>
    <row r="883">
      <c r="A883" s="7"/>
      <c r="B883" s="7"/>
      <c r="C883" s="7"/>
      <c r="D883" s="7"/>
      <c r="E883" s="7"/>
      <c r="F883" s="7"/>
      <c r="G883" s="7"/>
      <c r="H883" s="15">
        <f>IFERROR(__xludf.DUMMYFUNCTION("""COMPUTED_VALUE"""),44018.66666666667)</f>
        <v>44018.66667</v>
      </c>
      <c r="I883" s="16">
        <f>IFERROR(__xludf.DUMMYFUNCTION("""COMPUTED_VALUE"""),274.32)</f>
        <v>274.32</v>
      </c>
      <c r="J883" s="7"/>
    </row>
    <row r="884">
      <c r="A884" s="7"/>
      <c r="B884" s="7"/>
      <c r="C884" s="7"/>
      <c r="D884" s="7"/>
      <c r="E884" s="7"/>
      <c r="F884" s="7"/>
      <c r="G884" s="7"/>
      <c r="H884" s="15">
        <f>IFERROR(__xludf.DUMMYFUNCTION("""COMPUTED_VALUE"""),44019.66666666667)</f>
        <v>44019.66667</v>
      </c>
      <c r="I884" s="16">
        <f>IFERROR(__xludf.DUMMYFUNCTION("""COMPUTED_VALUE"""),277.97)</f>
        <v>277.97</v>
      </c>
      <c r="J884" s="7"/>
    </row>
    <row r="885">
      <c r="A885" s="7"/>
      <c r="B885" s="7"/>
      <c r="C885" s="7"/>
      <c r="D885" s="7"/>
      <c r="E885" s="7"/>
      <c r="F885" s="7"/>
      <c r="G885" s="7"/>
      <c r="H885" s="15">
        <f>IFERROR(__xludf.DUMMYFUNCTION("""COMPUTED_VALUE"""),44020.66666666667)</f>
        <v>44020.66667</v>
      </c>
      <c r="I885" s="16">
        <f>IFERROR(__xludf.DUMMYFUNCTION("""COMPUTED_VALUE"""),273.18)</f>
        <v>273.18</v>
      </c>
      <c r="J885" s="7"/>
    </row>
    <row r="886">
      <c r="A886" s="7"/>
      <c r="B886" s="7"/>
      <c r="C886" s="7"/>
      <c r="D886" s="7"/>
      <c r="E886" s="7"/>
      <c r="F886" s="7"/>
      <c r="G886" s="7"/>
      <c r="H886" s="15">
        <f>IFERROR(__xludf.DUMMYFUNCTION("""COMPUTED_VALUE"""),44021.66666666667)</f>
        <v>44021.66667</v>
      </c>
      <c r="I886" s="16">
        <f>IFERROR(__xludf.DUMMYFUNCTION("""COMPUTED_VALUE"""),278.86)</f>
        <v>278.86</v>
      </c>
      <c r="J886" s="7"/>
    </row>
    <row r="887">
      <c r="A887" s="7"/>
      <c r="B887" s="7"/>
      <c r="C887" s="7"/>
      <c r="D887" s="7"/>
      <c r="E887" s="7"/>
      <c r="F887" s="7"/>
      <c r="G887" s="7"/>
      <c r="H887" s="15">
        <f>IFERROR(__xludf.DUMMYFUNCTION("""COMPUTED_VALUE"""),44022.66666666667)</f>
        <v>44022.66667</v>
      </c>
      <c r="I887" s="16">
        <f>IFERROR(__xludf.DUMMYFUNCTION("""COMPUTED_VALUE"""),308.93)</f>
        <v>308.93</v>
      </c>
      <c r="J887" s="7"/>
    </row>
    <row r="888">
      <c r="A888" s="7"/>
      <c r="B888" s="7"/>
      <c r="C888" s="7"/>
      <c r="D888" s="7"/>
      <c r="E888" s="7"/>
      <c r="F888" s="7"/>
      <c r="G888" s="7"/>
      <c r="H888" s="15">
        <f>IFERROR(__xludf.DUMMYFUNCTION("""COMPUTED_VALUE"""),44025.66666666667)</f>
        <v>44025.66667</v>
      </c>
      <c r="I888" s="16">
        <f>IFERROR(__xludf.DUMMYFUNCTION("""COMPUTED_VALUE"""),299.41)</f>
        <v>299.41</v>
      </c>
      <c r="J888" s="7"/>
    </row>
    <row r="889">
      <c r="A889" s="7"/>
      <c r="B889" s="7"/>
      <c r="C889" s="7"/>
      <c r="D889" s="7"/>
      <c r="E889" s="7"/>
      <c r="F889" s="7"/>
      <c r="G889" s="7"/>
      <c r="H889" s="15">
        <f>IFERROR(__xludf.DUMMYFUNCTION("""COMPUTED_VALUE"""),44026.66666666667)</f>
        <v>44026.66667</v>
      </c>
      <c r="I889" s="16">
        <f>IFERROR(__xludf.DUMMYFUNCTION("""COMPUTED_VALUE"""),303.36)</f>
        <v>303.36</v>
      </c>
      <c r="J889" s="7"/>
    </row>
    <row r="890">
      <c r="A890" s="7"/>
      <c r="B890" s="7"/>
      <c r="C890" s="7"/>
      <c r="D890" s="7"/>
      <c r="E890" s="7"/>
      <c r="F890" s="7"/>
      <c r="G890" s="7"/>
      <c r="H890" s="15">
        <f>IFERROR(__xludf.DUMMYFUNCTION("""COMPUTED_VALUE"""),44027.66666666667)</f>
        <v>44027.66667</v>
      </c>
      <c r="I890" s="16">
        <f>IFERROR(__xludf.DUMMYFUNCTION("""COMPUTED_VALUE"""),309.2)</f>
        <v>309.2</v>
      </c>
      <c r="J890" s="7"/>
    </row>
    <row r="891">
      <c r="A891" s="7"/>
      <c r="B891" s="7"/>
      <c r="C891" s="7"/>
      <c r="D891" s="7"/>
      <c r="E891" s="7"/>
      <c r="F891" s="7"/>
      <c r="G891" s="7"/>
      <c r="H891" s="15">
        <f>IFERROR(__xludf.DUMMYFUNCTION("""COMPUTED_VALUE"""),44028.66666666667)</f>
        <v>44028.66667</v>
      </c>
      <c r="I891" s="16">
        <f>IFERROR(__xludf.DUMMYFUNCTION("""COMPUTED_VALUE"""),300.13)</f>
        <v>300.13</v>
      </c>
      <c r="J891" s="7"/>
    </row>
    <row r="892">
      <c r="A892" s="7"/>
      <c r="B892" s="7"/>
      <c r="C892" s="7"/>
      <c r="D892" s="7"/>
      <c r="E892" s="7"/>
      <c r="F892" s="7"/>
      <c r="G892" s="7"/>
      <c r="H892" s="15">
        <f>IFERROR(__xludf.DUMMYFUNCTION("""COMPUTED_VALUE"""),44029.66666666667)</f>
        <v>44029.66667</v>
      </c>
      <c r="I892" s="16">
        <f>IFERROR(__xludf.DUMMYFUNCTION("""COMPUTED_VALUE"""),300.17)</f>
        <v>300.17</v>
      </c>
      <c r="J892" s="7"/>
    </row>
    <row r="893">
      <c r="A893" s="7"/>
      <c r="B893" s="7"/>
      <c r="C893" s="7"/>
      <c r="D893" s="7"/>
      <c r="E893" s="7"/>
      <c r="F893" s="7"/>
      <c r="G893" s="7"/>
      <c r="H893" s="15">
        <f>IFERROR(__xludf.DUMMYFUNCTION("""COMPUTED_VALUE"""),44032.66666666667)</f>
        <v>44032.66667</v>
      </c>
      <c r="I893" s="16">
        <f>IFERROR(__xludf.DUMMYFUNCTION("""COMPUTED_VALUE"""),328.6)</f>
        <v>328.6</v>
      </c>
      <c r="J893" s="7"/>
    </row>
    <row r="894">
      <c r="A894" s="7"/>
      <c r="B894" s="7"/>
      <c r="C894" s="7"/>
      <c r="D894" s="7"/>
      <c r="E894" s="7"/>
      <c r="F894" s="7"/>
      <c r="G894" s="7"/>
      <c r="H894" s="15">
        <f>IFERROR(__xludf.DUMMYFUNCTION("""COMPUTED_VALUE"""),44033.66666666667)</f>
        <v>44033.66667</v>
      </c>
      <c r="I894" s="16">
        <f>IFERROR(__xludf.DUMMYFUNCTION("""COMPUTED_VALUE"""),313.67)</f>
        <v>313.67</v>
      </c>
      <c r="J894" s="7"/>
    </row>
    <row r="895">
      <c r="A895" s="7"/>
      <c r="B895" s="7"/>
      <c r="C895" s="7"/>
      <c r="D895" s="7"/>
      <c r="E895" s="7"/>
      <c r="F895" s="7"/>
      <c r="G895" s="7"/>
      <c r="H895" s="15">
        <f>IFERROR(__xludf.DUMMYFUNCTION("""COMPUTED_VALUE"""),44034.66666666667)</f>
        <v>44034.66667</v>
      </c>
      <c r="I895" s="16">
        <f>IFERROR(__xludf.DUMMYFUNCTION("""COMPUTED_VALUE"""),318.47)</f>
        <v>318.47</v>
      </c>
      <c r="J895" s="7"/>
    </row>
    <row r="896">
      <c r="A896" s="7"/>
      <c r="B896" s="7"/>
      <c r="C896" s="7"/>
      <c r="D896" s="7"/>
      <c r="E896" s="7"/>
      <c r="F896" s="7"/>
      <c r="G896" s="7"/>
      <c r="H896" s="15">
        <f>IFERROR(__xludf.DUMMYFUNCTION("""COMPUTED_VALUE"""),44035.66666666667)</f>
        <v>44035.66667</v>
      </c>
      <c r="I896" s="16">
        <f>IFERROR(__xludf.DUMMYFUNCTION("""COMPUTED_VALUE"""),302.61)</f>
        <v>302.61</v>
      </c>
      <c r="J896" s="7"/>
    </row>
    <row r="897">
      <c r="A897" s="7"/>
      <c r="B897" s="7"/>
      <c r="C897" s="7"/>
      <c r="D897" s="7"/>
      <c r="E897" s="7"/>
      <c r="F897" s="7"/>
      <c r="G897" s="7"/>
      <c r="H897" s="15">
        <f>IFERROR(__xludf.DUMMYFUNCTION("""COMPUTED_VALUE"""),44036.66666666667)</f>
        <v>44036.66667</v>
      </c>
      <c r="I897" s="16">
        <f>IFERROR(__xludf.DUMMYFUNCTION("""COMPUTED_VALUE"""),283.4)</f>
        <v>283.4</v>
      </c>
      <c r="J897" s="7"/>
    </row>
    <row r="898">
      <c r="A898" s="7"/>
      <c r="B898" s="7"/>
      <c r="C898" s="7"/>
      <c r="D898" s="7"/>
      <c r="E898" s="7"/>
      <c r="F898" s="7"/>
      <c r="G898" s="7"/>
      <c r="H898" s="15">
        <f>IFERROR(__xludf.DUMMYFUNCTION("""COMPUTED_VALUE"""),44039.66666666667)</f>
        <v>44039.66667</v>
      </c>
      <c r="I898" s="16">
        <f>IFERROR(__xludf.DUMMYFUNCTION("""COMPUTED_VALUE"""),307.92)</f>
        <v>307.92</v>
      </c>
      <c r="J898" s="7"/>
    </row>
    <row r="899">
      <c r="A899" s="7"/>
      <c r="B899" s="7"/>
      <c r="C899" s="7"/>
      <c r="D899" s="7"/>
      <c r="E899" s="7"/>
      <c r="F899" s="7"/>
      <c r="G899" s="7"/>
      <c r="H899" s="15">
        <f>IFERROR(__xludf.DUMMYFUNCTION("""COMPUTED_VALUE"""),44040.66666666667)</f>
        <v>44040.66667</v>
      </c>
      <c r="I899" s="16">
        <f>IFERROR(__xludf.DUMMYFUNCTION("""COMPUTED_VALUE"""),295.3)</f>
        <v>295.3</v>
      </c>
      <c r="J899" s="7"/>
    </row>
    <row r="900">
      <c r="A900" s="7"/>
      <c r="B900" s="7"/>
      <c r="C900" s="7"/>
      <c r="D900" s="7"/>
      <c r="E900" s="7"/>
      <c r="F900" s="7"/>
      <c r="G900" s="7"/>
      <c r="H900" s="15">
        <f>IFERROR(__xludf.DUMMYFUNCTION("""COMPUTED_VALUE"""),44041.66666666667)</f>
        <v>44041.66667</v>
      </c>
      <c r="I900" s="16">
        <f>IFERROR(__xludf.DUMMYFUNCTION("""COMPUTED_VALUE"""),299.82)</f>
        <v>299.82</v>
      </c>
      <c r="J900" s="7"/>
    </row>
    <row r="901">
      <c r="A901" s="7"/>
      <c r="B901" s="7"/>
      <c r="C901" s="7"/>
      <c r="D901" s="7"/>
      <c r="E901" s="7"/>
      <c r="F901" s="7"/>
      <c r="G901" s="7"/>
      <c r="H901" s="15">
        <f>IFERROR(__xludf.DUMMYFUNCTION("""COMPUTED_VALUE"""),44042.66666666667)</f>
        <v>44042.66667</v>
      </c>
      <c r="I901" s="16">
        <f>IFERROR(__xludf.DUMMYFUNCTION("""COMPUTED_VALUE"""),297.5)</f>
        <v>297.5</v>
      </c>
      <c r="J901" s="7"/>
    </row>
    <row r="902">
      <c r="A902" s="7"/>
      <c r="B902" s="7"/>
      <c r="C902" s="7"/>
      <c r="D902" s="7"/>
      <c r="E902" s="7"/>
      <c r="F902" s="7"/>
      <c r="G902" s="7"/>
      <c r="H902" s="15">
        <f>IFERROR(__xludf.DUMMYFUNCTION("""COMPUTED_VALUE"""),44043.66666666667)</f>
        <v>44043.66667</v>
      </c>
      <c r="I902" s="16">
        <f>IFERROR(__xludf.DUMMYFUNCTION("""COMPUTED_VALUE"""),286.15)</f>
        <v>286.15</v>
      </c>
      <c r="J902" s="7"/>
    </row>
    <row r="903">
      <c r="A903" s="7"/>
      <c r="B903" s="7"/>
      <c r="C903" s="7"/>
      <c r="D903" s="7"/>
      <c r="E903" s="7"/>
      <c r="F903" s="7"/>
      <c r="G903" s="7"/>
      <c r="H903" s="15">
        <f>IFERROR(__xludf.DUMMYFUNCTION("""COMPUTED_VALUE"""),44046.66666666667)</f>
        <v>44046.66667</v>
      </c>
      <c r="I903" s="16">
        <f>IFERROR(__xludf.DUMMYFUNCTION("""COMPUTED_VALUE"""),297.0)</f>
        <v>297</v>
      </c>
      <c r="J903" s="7"/>
    </row>
    <row r="904">
      <c r="A904" s="7"/>
      <c r="B904" s="7"/>
      <c r="C904" s="7"/>
      <c r="D904" s="7"/>
      <c r="E904" s="7"/>
      <c r="F904" s="7"/>
      <c r="G904" s="7"/>
      <c r="H904" s="15">
        <f>IFERROR(__xludf.DUMMYFUNCTION("""COMPUTED_VALUE"""),44047.66666666667)</f>
        <v>44047.66667</v>
      </c>
      <c r="I904" s="16">
        <f>IFERROR(__xludf.DUMMYFUNCTION("""COMPUTED_VALUE"""),297.4)</f>
        <v>297.4</v>
      </c>
      <c r="J904" s="7"/>
    </row>
    <row r="905">
      <c r="A905" s="7"/>
      <c r="B905" s="7"/>
      <c r="C905" s="7"/>
      <c r="D905" s="7"/>
      <c r="E905" s="7"/>
      <c r="F905" s="7"/>
      <c r="G905" s="7"/>
      <c r="H905" s="15">
        <f>IFERROR(__xludf.DUMMYFUNCTION("""COMPUTED_VALUE"""),44048.66666666667)</f>
        <v>44048.66667</v>
      </c>
      <c r="I905" s="16">
        <f>IFERROR(__xludf.DUMMYFUNCTION("""COMPUTED_VALUE"""),297.0)</f>
        <v>297</v>
      </c>
      <c r="J905" s="7"/>
    </row>
    <row r="906">
      <c r="A906" s="7"/>
      <c r="B906" s="7"/>
      <c r="C906" s="7"/>
      <c r="D906" s="7"/>
      <c r="E906" s="7"/>
      <c r="F906" s="7"/>
      <c r="G906" s="7"/>
      <c r="H906" s="15">
        <f>IFERROR(__xludf.DUMMYFUNCTION("""COMPUTED_VALUE"""),44049.66666666667)</f>
        <v>44049.66667</v>
      </c>
      <c r="I906" s="16">
        <f>IFERROR(__xludf.DUMMYFUNCTION("""COMPUTED_VALUE"""),297.92)</f>
        <v>297.92</v>
      </c>
      <c r="J906" s="7"/>
    </row>
    <row r="907">
      <c r="A907" s="7"/>
      <c r="B907" s="7"/>
      <c r="C907" s="7"/>
      <c r="D907" s="7"/>
      <c r="E907" s="7"/>
      <c r="F907" s="7"/>
      <c r="G907" s="7"/>
      <c r="H907" s="15">
        <f>IFERROR(__xludf.DUMMYFUNCTION("""COMPUTED_VALUE"""),44050.66666666667)</f>
        <v>44050.66667</v>
      </c>
      <c r="I907" s="16">
        <f>IFERROR(__xludf.DUMMYFUNCTION("""COMPUTED_VALUE"""),290.54)</f>
        <v>290.54</v>
      </c>
      <c r="J907" s="7"/>
    </row>
    <row r="908">
      <c r="A908" s="7"/>
      <c r="B908" s="7"/>
      <c r="C908" s="7"/>
      <c r="D908" s="7"/>
      <c r="E908" s="7"/>
      <c r="F908" s="7"/>
      <c r="G908" s="7"/>
      <c r="H908" s="15">
        <f>IFERROR(__xludf.DUMMYFUNCTION("""COMPUTED_VALUE"""),44053.66666666667)</f>
        <v>44053.66667</v>
      </c>
      <c r="I908" s="16">
        <f>IFERROR(__xludf.DUMMYFUNCTION("""COMPUTED_VALUE"""),283.71)</f>
        <v>283.71</v>
      </c>
      <c r="J908" s="7"/>
    </row>
    <row r="909">
      <c r="A909" s="7"/>
      <c r="B909" s="7"/>
      <c r="C909" s="7"/>
      <c r="D909" s="7"/>
      <c r="E909" s="7"/>
      <c r="F909" s="7"/>
      <c r="G909" s="7"/>
      <c r="H909" s="15">
        <f>IFERROR(__xludf.DUMMYFUNCTION("""COMPUTED_VALUE"""),44054.66666666667)</f>
        <v>44054.66667</v>
      </c>
      <c r="I909" s="16">
        <f>IFERROR(__xludf.DUMMYFUNCTION("""COMPUTED_VALUE"""),274.88)</f>
        <v>274.88</v>
      </c>
      <c r="J909" s="7"/>
    </row>
    <row r="910">
      <c r="A910" s="7"/>
      <c r="B910" s="7"/>
      <c r="C910" s="7"/>
      <c r="D910" s="7"/>
      <c r="E910" s="7"/>
      <c r="F910" s="7"/>
      <c r="G910" s="7"/>
      <c r="H910" s="15">
        <f>IFERROR(__xludf.DUMMYFUNCTION("""COMPUTED_VALUE"""),44055.66666666667)</f>
        <v>44055.66667</v>
      </c>
      <c r="I910" s="16">
        <f>IFERROR(__xludf.DUMMYFUNCTION("""COMPUTED_VALUE"""),310.95)</f>
        <v>310.95</v>
      </c>
      <c r="J910" s="7"/>
    </row>
    <row r="911">
      <c r="A911" s="7"/>
      <c r="B911" s="7"/>
      <c r="C911" s="7"/>
      <c r="D911" s="7"/>
      <c r="E911" s="7"/>
      <c r="F911" s="7"/>
      <c r="G911" s="7"/>
      <c r="H911" s="15">
        <f>IFERROR(__xludf.DUMMYFUNCTION("""COMPUTED_VALUE"""),44056.66666666667)</f>
        <v>44056.66667</v>
      </c>
      <c r="I911" s="16">
        <f>IFERROR(__xludf.DUMMYFUNCTION("""COMPUTED_VALUE"""),324.2)</f>
        <v>324.2</v>
      </c>
      <c r="J911" s="7"/>
    </row>
    <row r="912">
      <c r="A912" s="7"/>
      <c r="B912" s="7"/>
      <c r="C912" s="7"/>
      <c r="D912" s="7"/>
      <c r="E912" s="7"/>
      <c r="F912" s="7"/>
      <c r="G912" s="7"/>
      <c r="H912" s="15">
        <f>IFERROR(__xludf.DUMMYFUNCTION("""COMPUTED_VALUE"""),44057.66666666667)</f>
        <v>44057.66667</v>
      </c>
      <c r="I912" s="16">
        <f>IFERROR(__xludf.DUMMYFUNCTION("""COMPUTED_VALUE"""),330.14)</f>
        <v>330.14</v>
      </c>
      <c r="J912" s="7"/>
    </row>
    <row r="913">
      <c r="A913" s="7"/>
      <c r="B913" s="7"/>
      <c r="C913" s="7"/>
      <c r="D913" s="7"/>
      <c r="E913" s="7"/>
      <c r="F913" s="7"/>
      <c r="G913" s="7"/>
      <c r="H913" s="15">
        <f>IFERROR(__xludf.DUMMYFUNCTION("""COMPUTED_VALUE"""),44060.66666666667)</f>
        <v>44060.66667</v>
      </c>
      <c r="I913" s="16">
        <f>IFERROR(__xludf.DUMMYFUNCTION("""COMPUTED_VALUE"""),367.13)</f>
        <v>367.13</v>
      </c>
      <c r="J913" s="7"/>
    </row>
    <row r="914">
      <c r="A914" s="7"/>
      <c r="B914" s="7"/>
      <c r="C914" s="7"/>
      <c r="D914" s="7"/>
      <c r="E914" s="7"/>
      <c r="F914" s="7"/>
      <c r="G914" s="7"/>
      <c r="H914" s="15">
        <f>IFERROR(__xludf.DUMMYFUNCTION("""COMPUTED_VALUE"""),44061.66666666667)</f>
        <v>44061.66667</v>
      </c>
      <c r="I914" s="16">
        <f>IFERROR(__xludf.DUMMYFUNCTION("""COMPUTED_VALUE"""),377.42)</f>
        <v>377.42</v>
      </c>
      <c r="J914" s="7"/>
    </row>
    <row r="915">
      <c r="A915" s="7"/>
      <c r="B915" s="7"/>
      <c r="C915" s="7"/>
      <c r="D915" s="7"/>
      <c r="E915" s="7"/>
      <c r="F915" s="7"/>
      <c r="G915" s="7"/>
      <c r="H915" s="15">
        <f>IFERROR(__xludf.DUMMYFUNCTION("""COMPUTED_VALUE"""),44062.66666666667)</f>
        <v>44062.66667</v>
      </c>
      <c r="I915" s="16">
        <f>IFERROR(__xludf.DUMMYFUNCTION("""COMPUTED_VALUE"""),375.71)</f>
        <v>375.71</v>
      </c>
      <c r="J915" s="7"/>
    </row>
    <row r="916">
      <c r="A916" s="7"/>
      <c r="B916" s="7"/>
      <c r="C916" s="7"/>
      <c r="D916" s="7"/>
      <c r="E916" s="7"/>
      <c r="F916" s="7"/>
      <c r="G916" s="7"/>
      <c r="H916" s="15">
        <f>IFERROR(__xludf.DUMMYFUNCTION("""COMPUTED_VALUE"""),44063.66666666667)</f>
        <v>44063.66667</v>
      </c>
      <c r="I916" s="16">
        <f>IFERROR(__xludf.DUMMYFUNCTION("""COMPUTED_VALUE"""),400.37)</f>
        <v>400.37</v>
      </c>
      <c r="J916" s="7"/>
    </row>
    <row r="917">
      <c r="A917" s="7"/>
      <c r="B917" s="7"/>
      <c r="C917" s="7"/>
      <c r="D917" s="7"/>
      <c r="E917" s="7"/>
      <c r="F917" s="7"/>
      <c r="G917" s="7"/>
      <c r="H917" s="15">
        <f>IFERROR(__xludf.DUMMYFUNCTION("""COMPUTED_VALUE"""),44064.66666666667)</f>
        <v>44064.66667</v>
      </c>
      <c r="I917" s="16">
        <f>IFERROR(__xludf.DUMMYFUNCTION("""COMPUTED_VALUE"""),410.0)</f>
        <v>410</v>
      </c>
      <c r="J917" s="7"/>
    </row>
    <row r="918">
      <c r="A918" s="7"/>
      <c r="B918" s="7"/>
      <c r="C918" s="7"/>
      <c r="D918" s="7"/>
      <c r="E918" s="7"/>
      <c r="F918" s="7"/>
      <c r="G918" s="7"/>
      <c r="H918" s="15">
        <f>IFERROR(__xludf.DUMMYFUNCTION("""COMPUTED_VALUE"""),44067.66666666667)</f>
        <v>44067.66667</v>
      </c>
      <c r="I918" s="16">
        <f>IFERROR(__xludf.DUMMYFUNCTION("""COMPUTED_VALUE"""),402.84)</f>
        <v>402.84</v>
      </c>
      <c r="J918" s="7"/>
    </row>
    <row r="919">
      <c r="A919" s="7"/>
      <c r="B919" s="7"/>
      <c r="C919" s="7"/>
      <c r="D919" s="7"/>
      <c r="E919" s="7"/>
      <c r="F919" s="7"/>
      <c r="G919" s="7"/>
      <c r="H919" s="15">
        <f>IFERROR(__xludf.DUMMYFUNCTION("""COMPUTED_VALUE"""),44068.66666666667)</f>
        <v>44068.66667</v>
      </c>
      <c r="I919" s="16">
        <f>IFERROR(__xludf.DUMMYFUNCTION("""COMPUTED_VALUE"""),404.67)</f>
        <v>404.67</v>
      </c>
      <c r="J919" s="7"/>
    </row>
    <row r="920">
      <c r="A920" s="7"/>
      <c r="B920" s="7"/>
      <c r="C920" s="7"/>
      <c r="D920" s="7"/>
      <c r="E920" s="7"/>
      <c r="F920" s="7"/>
      <c r="G920" s="7"/>
      <c r="H920" s="15">
        <f>IFERROR(__xludf.DUMMYFUNCTION("""COMPUTED_VALUE"""),44069.66666666667)</f>
        <v>44069.66667</v>
      </c>
      <c r="I920" s="16">
        <f>IFERROR(__xludf.DUMMYFUNCTION("""COMPUTED_VALUE"""),430.63)</f>
        <v>430.63</v>
      </c>
      <c r="J920" s="7"/>
    </row>
    <row r="921">
      <c r="A921" s="7"/>
      <c r="B921" s="7"/>
      <c r="C921" s="7"/>
      <c r="D921" s="7"/>
      <c r="E921" s="7"/>
      <c r="F921" s="7"/>
      <c r="G921" s="7"/>
      <c r="H921" s="15">
        <f>IFERROR(__xludf.DUMMYFUNCTION("""COMPUTED_VALUE"""),44070.66666666667)</f>
        <v>44070.66667</v>
      </c>
      <c r="I921" s="16">
        <f>IFERROR(__xludf.DUMMYFUNCTION("""COMPUTED_VALUE"""),447.75)</f>
        <v>447.75</v>
      </c>
      <c r="J921" s="7"/>
    </row>
    <row r="922">
      <c r="A922" s="7"/>
      <c r="B922" s="7"/>
      <c r="C922" s="7"/>
      <c r="D922" s="7"/>
      <c r="E922" s="7"/>
      <c r="F922" s="7"/>
      <c r="G922" s="7"/>
      <c r="H922" s="15">
        <f>IFERROR(__xludf.DUMMYFUNCTION("""COMPUTED_VALUE"""),44071.66666666667)</f>
        <v>44071.66667</v>
      </c>
      <c r="I922" s="16">
        <f>IFERROR(__xludf.DUMMYFUNCTION("""COMPUTED_VALUE"""),442.68)</f>
        <v>442.68</v>
      </c>
      <c r="J922" s="7"/>
    </row>
    <row r="923">
      <c r="A923" s="7"/>
      <c r="B923" s="7"/>
      <c r="C923" s="7"/>
      <c r="D923" s="7"/>
      <c r="E923" s="7"/>
      <c r="F923" s="7"/>
      <c r="G923" s="7"/>
      <c r="H923" s="15">
        <f>IFERROR(__xludf.DUMMYFUNCTION("""COMPUTED_VALUE"""),44074.66666666667)</f>
        <v>44074.66667</v>
      </c>
      <c r="I923" s="16">
        <f>IFERROR(__xludf.DUMMYFUNCTION("""COMPUTED_VALUE"""),498.32)</f>
        <v>498.32</v>
      </c>
      <c r="J923" s="7"/>
    </row>
    <row r="924">
      <c r="A924" s="7"/>
      <c r="B924" s="7"/>
      <c r="C924" s="7"/>
      <c r="D924" s="7"/>
      <c r="E924" s="7"/>
      <c r="F924" s="7"/>
      <c r="G924" s="7"/>
      <c r="H924" s="15">
        <f>IFERROR(__xludf.DUMMYFUNCTION("""COMPUTED_VALUE"""),44075.66666666667)</f>
        <v>44075.66667</v>
      </c>
      <c r="I924" s="16">
        <f>IFERROR(__xludf.DUMMYFUNCTION("""COMPUTED_VALUE"""),475.05)</f>
        <v>475.05</v>
      </c>
      <c r="J924" s="7"/>
    </row>
    <row r="925">
      <c r="A925" s="7"/>
      <c r="B925" s="7"/>
      <c r="C925" s="7"/>
      <c r="D925" s="7"/>
      <c r="E925" s="7"/>
      <c r="F925" s="7"/>
      <c r="G925" s="7"/>
      <c r="H925" s="15">
        <f>IFERROR(__xludf.DUMMYFUNCTION("""COMPUTED_VALUE"""),44076.66666666667)</f>
        <v>44076.66667</v>
      </c>
      <c r="I925" s="16">
        <f>IFERROR(__xludf.DUMMYFUNCTION("""COMPUTED_VALUE"""),447.37)</f>
        <v>447.37</v>
      </c>
      <c r="J925" s="7"/>
    </row>
    <row r="926">
      <c r="A926" s="7"/>
      <c r="B926" s="7"/>
      <c r="C926" s="7"/>
      <c r="D926" s="7"/>
      <c r="E926" s="7"/>
      <c r="F926" s="7"/>
      <c r="G926" s="7"/>
      <c r="H926" s="15">
        <f>IFERROR(__xludf.DUMMYFUNCTION("""COMPUTED_VALUE"""),44077.66666666667)</f>
        <v>44077.66667</v>
      </c>
      <c r="I926" s="16">
        <f>IFERROR(__xludf.DUMMYFUNCTION("""COMPUTED_VALUE"""),407.0)</f>
        <v>407</v>
      </c>
      <c r="J926" s="7"/>
    </row>
    <row r="927">
      <c r="A927" s="7"/>
      <c r="B927" s="7"/>
      <c r="C927" s="7"/>
      <c r="D927" s="7"/>
      <c r="E927" s="7"/>
      <c r="F927" s="7"/>
      <c r="G927" s="7"/>
      <c r="H927" s="15">
        <f>IFERROR(__xludf.DUMMYFUNCTION("""COMPUTED_VALUE"""),44078.66666666667)</f>
        <v>44078.66667</v>
      </c>
      <c r="I927" s="16">
        <f>IFERROR(__xludf.DUMMYFUNCTION("""COMPUTED_VALUE"""),418.32)</f>
        <v>418.32</v>
      </c>
      <c r="J927" s="7"/>
    </row>
    <row r="928">
      <c r="A928" s="7"/>
      <c r="B928" s="7"/>
      <c r="C928" s="7"/>
      <c r="D928" s="7"/>
      <c r="E928" s="7"/>
      <c r="F928" s="7"/>
      <c r="G928" s="7"/>
      <c r="H928" s="15">
        <f>IFERROR(__xludf.DUMMYFUNCTION("""COMPUTED_VALUE"""),44082.66666666667)</f>
        <v>44082.66667</v>
      </c>
      <c r="I928" s="16">
        <f>IFERROR(__xludf.DUMMYFUNCTION("""COMPUTED_VALUE"""),330.21)</f>
        <v>330.21</v>
      </c>
      <c r="J928" s="7"/>
    </row>
    <row r="929">
      <c r="A929" s="7"/>
      <c r="B929" s="7"/>
      <c r="C929" s="7"/>
      <c r="D929" s="7"/>
      <c r="E929" s="7"/>
      <c r="F929" s="7"/>
      <c r="G929" s="7"/>
      <c r="H929" s="15">
        <f>IFERROR(__xludf.DUMMYFUNCTION("""COMPUTED_VALUE"""),44083.66666666667)</f>
        <v>44083.66667</v>
      </c>
      <c r="I929" s="16">
        <f>IFERROR(__xludf.DUMMYFUNCTION("""COMPUTED_VALUE"""),366.28)</f>
        <v>366.28</v>
      </c>
      <c r="J929" s="7"/>
    </row>
    <row r="930">
      <c r="A930" s="7"/>
      <c r="B930" s="7"/>
      <c r="C930" s="7"/>
      <c r="D930" s="7"/>
      <c r="E930" s="7"/>
      <c r="F930" s="7"/>
      <c r="G930" s="7"/>
      <c r="H930" s="15">
        <f>IFERROR(__xludf.DUMMYFUNCTION("""COMPUTED_VALUE"""),44084.66666666667)</f>
        <v>44084.66667</v>
      </c>
      <c r="I930" s="16">
        <f>IFERROR(__xludf.DUMMYFUNCTION("""COMPUTED_VALUE"""),371.34)</f>
        <v>371.34</v>
      </c>
      <c r="J930" s="7"/>
    </row>
    <row r="931">
      <c r="A931" s="7"/>
      <c r="B931" s="7"/>
      <c r="C931" s="7"/>
      <c r="D931" s="7"/>
      <c r="E931" s="7"/>
      <c r="F931" s="7"/>
      <c r="G931" s="7"/>
      <c r="H931" s="15">
        <f>IFERROR(__xludf.DUMMYFUNCTION("""COMPUTED_VALUE"""),44085.66666666667)</f>
        <v>44085.66667</v>
      </c>
      <c r="I931" s="16">
        <f>IFERROR(__xludf.DUMMYFUNCTION("""COMPUTED_VALUE"""),372.72)</f>
        <v>372.72</v>
      </c>
      <c r="J931" s="7"/>
    </row>
    <row r="932">
      <c r="A932" s="7"/>
      <c r="B932" s="7"/>
      <c r="C932" s="7"/>
      <c r="D932" s="7"/>
      <c r="E932" s="7"/>
      <c r="F932" s="7"/>
      <c r="G932" s="7"/>
      <c r="H932" s="15">
        <f>IFERROR(__xludf.DUMMYFUNCTION("""COMPUTED_VALUE"""),44088.66666666667)</f>
        <v>44088.66667</v>
      </c>
      <c r="I932" s="16">
        <f>IFERROR(__xludf.DUMMYFUNCTION("""COMPUTED_VALUE"""),419.62)</f>
        <v>419.62</v>
      </c>
      <c r="J932" s="7"/>
    </row>
    <row r="933">
      <c r="A933" s="7"/>
      <c r="B933" s="7"/>
      <c r="C933" s="7"/>
      <c r="D933" s="7"/>
      <c r="E933" s="7"/>
      <c r="F933" s="7"/>
      <c r="G933" s="7"/>
      <c r="H933" s="15">
        <f>IFERROR(__xludf.DUMMYFUNCTION("""COMPUTED_VALUE"""),44089.66666666667)</f>
        <v>44089.66667</v>
      </c>
      <c r="I933" s="16">
        <f>IFERROR(__xludf.DUMMYFUNCTION("""COMPUTED_VALUE"""),449.76)</f>
        <v>449.76</v>
      </c>
      <c r="J933" s="7"/>
    </row>
    <row r="934">
      <c r="A934" s="7"/>
      <c r="B934" s="7"/>
      <c r="C934" s="7"/>
      <c r="D934" s="7"/>
      <c r="E934" s="7"/>
      <c r="F934" s="7"/>
      <c r="G934" s="7"/>
      <c r="H934" s="15">
        <f>IFERROR(__xludf.DUMMYFUNCTION("""COMPUTED_VALUE"""),44090.66666666667)</f>
        <v>44090.66667</v>
      </c>
      <c r="I934" s="16">
        <f>IFERROR(__xludf.DUMMYFUNCTION("""COMPUTED_VALUE"""),441.76)</f>
        <v>441.76</v>
      </c>
      <c r="J934" s="7"/>
    </row>
    <row r="935">
      <c r="A935" s="7"/>
      <c r="B935" s="7"/>
      <c r="C935" s="7"/>
      <c r="D935" s="7"/>
      <c r="E935" s="7"/>
      <c r="F935" s="7"/>
      <c r="G935" s="7"/>
      <c r="H935" s="15">
        <f>IFERROR(__xludf.DUMMYFUNCTION("""COMPUTED_VALUE"""),44091.66666666667)</f>
        <v>44091.66667</v>
      </c>
      <c r="I935" s="16">
        <f>IFERROR(__xludf.DUMMYFUNCTION("""COMPUTED_VALUE"""),423.43)</f>
        <v>423.43</v>
      </c>
      <c r="J935" s="7"/>
    </row>
    <row r="936">
      <c r="A936" s="7"/>
      <c r="B936" s="7"/>
      <c r="C936" s="7"/>
      <c r="D936" s="7"/>
      <c r="E936" s="7"/>
      <c r="F936" s="7"/>
      <c r="G936" s="7"/>
      <c r="H936" s="15">
        <f>IFERROR(__xludf.DUMMYFUNCTION("""COMPUTED_VALUE"""),44092.66666666667)</f>
        <v>44092.66667</v>
      </c>
      <c r="I936" s="16">
        <f>IFERROR(__xludf.DUMMYFUNCTION("""COMPUTED_VALUE"""),442.15)</f>
        <v>442.15</v>
      </c>
      <c r="J936" s="7"/>
    </row>
    <row r="937">
      <c r="A937" s="7"/>
      <c r="B937" s="7"/>
      <c r="C937" s="7"/>
      <c r="D937" s="7"/>
      <c r="E937" s="7"/>
      <c r="F937" s="7"/>
      <c r="G937" s="7"/>
      <c r="H937" s="15">
        <f>IFERROR(__xludf.DUMMYFUNCTION("""COMPUTED_VALUE"""),44095.66666666667)</f>
        <v>44095.66667</v>
      </c>
      <c r="I937" s="16">
        <f>IFERROR(__xludf.DUMMYFUNCTION("""COMPUTED_VALUE"""),449.39)</f>
        <v>449.39</v>
      </c>
      <c r="J937" s="7"/>
    </row>
    <row r="938">
      <c r="A938" s="7"/>
      <c r="B938" s="7"/>
      <c r="C938" s="7"/>
      <c r="D938" s="7"/>
      <c r="E938" s="7"/>
      <c r="F938" s="7"/>
      <c r="G938" s="7"/>
      <c r="H938" s="15">
        <f>IFERROR(__xludf.DUMMYFUNCTION("""COMPUTED_VALUE"""),44096.66666666667)</f>
        <v>44096.66667</v>
      </c>
      <c r="I938" s="16">
        <f>IFERROR(__xludf.DUMMYFUNCTION("""COMPUTED_VALUE"""),424.23)</f>
        <v>424.23</v>
      </c>
      <c r="J938" s="7"/>
    </row>
    <row r="939">
      <c r="A939" s="7"/>
      <c r="B939" s="7"/>
      <c r="C939" s="7"/>
      <c r="D939" s="7"/>
      <c r="E939" s="7"/>
      <c r="F939" s="7"/>
      <c r="G939" s="7"/>
      <c r="H939" s="15">
        <f>IFERROR(__xludf.DUMMYFUNCTION("""COMPUTED_VALUE"""),44097.66666666667)</f>
        <v>44097.66667</v>
      </c>
      <c r="I939" s="16">
        <f>IFERROR(__xludf.DUMMYFUNCTION("""COMPUTED_VALUE"""),380.36)</f>
        <v>380.36</v>
      </c>
      <c r="J939" s="7"/>
    </row>
    <row r="940">
      <c r="A940" s="7"/>
      <c r="B940" s="7"/>
      <c r="C940" s="7"/>
      <c r="D940" s="7"/>
      <c r="E940" s="7"/>
      <c r="F940" s="7"/>
      <c r="G940" s="7"/>
      <c r="H940" s="15">
        <f>IFERROR(__xludf.DUMMYFUNCTION("""COMPUTED_VALUE"""),44098.66666666667)</f>
        <v>44098.66667</v>
      </c>
      <c r="I940" s="16">
        <f>IFERROR(__xludf.DUMMYFUNCTION("""COMPUTED_VALUE"""),387.79)</f>
        <v>387.79</v>
      </c>
      <c r="J940" s="7"/>
    </row>
    <row r="941">
      <c r="A941" s="7"/>
      <c r="B941" s="7"/>
      <c r="C941" s="7"/>
      <c r="D941" s="7"/>
      <c r="E941" s="7"/>
      <c r="F941" s="7"/>
      <c r="G941" s="7"/>
      <c r="H941" s="15">
        <f>IFERROR(__xludf.DUMMYFUNCTION("""COMPUTED_VALUE"""),44099.66666666667)</f>
        <v>44099.66667</v>
      </c>
      <c r="I941" s="16">
        <f>IFERROR(__xludf.DUMMYFUNCTION("""COMPUTED_VALUE"""),407.34)</f>
        <v>407.34</v>
      </c>
      <c r="J941" s="7"/>
    </row>
    <row r="942">
      <c r="A942" s="7"/>
      <c r="B942" s="7"/>
      <c r="C942" s="7"/>
      <c r="D942" s="7"/>
      <c r="E942" s="7"/>
      <c r="F942" s="7"/>
      <c r="G942" s="7"/>
      <c r="H942" s="15">
        <f>IFERROR(__xludf.DUMMYFUNCTION("""COMPUTED_VALUE"""),44102.66666666667)</f>
        <v>44102.66667</v>
      </c>
      <c r="I942" s="16">
        <f>IFERROR(__xludf.DUMMYFUNCTION("""COMPUTED_VALUE"""),421.2)</f>
        <v>421.2</v>
      </c>
      <c r="J942" s="7"/>
    </row>
    <row r="943">
      <c r="A943" s="7"/>
      <c r="B943" s="7"/>
      <c r="C943" s="7"/>
      <c r="D943" s="7"/>
      <c r="E943" s="7"/>
      <c r="F943" s="7"/>
      <c r="G943" s="7"/>
      <c r="H943" s="15">
        <f>IFERROR(__xludf.DUMMYFUNCTION("""COMPUTED_VALUE"""),44103.66666666667)</f>
        <v>44103.66667</v>
      </c>
      <c r="I943" s="16">
        <f>IFERROR(__xludf.DUMMYFUNCTION("""COMPUTED_VALUE"""),419.07)</f>
        <v>419.07</v>
      </c>
      <c r="J943" s="7"/>
    </row>
    <row r="944">
      <c r="A944" s="7"/>
      <c r="B944" s="7"/>
      <c r="C944" s="7"/>
      <c r="D944" s="7"/>
      <c r="E944" s="7"/>
      <c r="F944" s="7"/>
      <c r="G944" s="7"/>
      <c r="H944" s="15">
        <f>IFERROR(__xludf.DUMMYFUNCTION("""COMPUTED_VALUE"""),44104.66666666667)</f>
        <v>44104.66667</v>
      </c>
      <c r="I944" s="16">
        <f>IFERROR(__xludf.DUMMYFUNCTION("""COMPUTED_VALUE"""),429.01)</f>
        <v>429.01</v>
      </c>
      <c r="J944" s="7"/>
    </row>
    <row r="945">
      <c r="A945" s="7"/>
      <c r="B945" s="7"/>
      <c r="C945" s="7"/>
      <c r="D945" s="7"/>
      <c r="E945" s="7"/>
      <c r="F945" s="7"/>
      <c r="G945" s="7"/>
      <c r="H945" s="15">
        <f>IFERROR(__xludf.DUMMYFUNCTION("""COMPUTED_VALUE"""),44105.66666666667)</f>
        <v>44105.66667</v>
      </c>
      <c r="I945" s="16">
        <f>IFERROR(__xludf.DUMMYFUNCTION("""COMPUTED_VALUE"""),448.16)</f>
        <v>448.16</v>
      </c>
      <c r="J945" s="7"/>
    </row>
    <row r="946">
      <c r="A946" s="7"/>
      <c r="B946" s="7"/>
      <c r="C946" s="7"/>
      <c r="D946" s="7"/>
      <c r="E946" s="7"/>
      <c r="F946" s="7"/>
      <c r="G946" s="7"/>
      <c r="H946" s="15">
        <f>IFERROR(__xludf.DUMMYFUNCTION("""COMPUTED_VALUE"""),44106.66666666667)</f>
        <v>44106.66667</v>
      </c>
      <c r="I946" s="16">
        <f>IFERROR(__xludf.DUMMYFUNCTION("""COMPUTED_VALUE"""),415.09)</f>
        <v>415.09</v>
      </c>
      <c r="J946" s="7"/>
    </row>
    <row r="947">
      <c r="A947" s="7"/>
      <c r="B947" s="7"/>
      <c r="C947" s="7"/>
      <c r="D947" s="7"/>
      <c r="E947" s="7"/>
      <c r="F947" s="7"/>
      <c r="G947" s="7"/>
      <c r="H947" s="15">
        <f>IFERROR(__xludf.DUMMYFUNCTION("""COMPUTED_VALUE"""),44109.66666666667)</f>
        <v>44109.66667</v>
      </c>
      <c r="I947" s="16">
        <f>IFERROR(__xludf.DUMMYFUNCTION("""COMPUTED_VALUE"""),425.68)</f>
        <v>425.68</v>
      </c>
      <c r="J947" s="7"/>
    </row>
    <row r="948">
      <c r="A948" s="7"/>
      <c r="B948" s="7"/>
      <c r="C948" s="7"/>
      <c r="D948" s="7"/>
      <c r="E948" s="7"/>
      <c r="F948" s="7"/>
      <c r="G948" s="7"/>
      <c r="H948" s="15">
        <f>IFERROR(__xludf.DUMMYFUNCTION("""COMPUTED_VALUE"""),44110.66666666667)</f>
        <v>44110.66667</v>
      </c>
      <c r="I948" s="16">
        <f>IFERROR(__xludf.DUMMYFUNCTION("""COMPUTED_VALUE"""),413.98)</f>
        <v>413.98</v>
      </c>
      <c r="J948" s="7"/>
    </row>
    <row r="949">
      <c r="A949" s="7"/>
      <c r="B949" s="7"/>
      <c r="C949" s="7"/>
      <c r="D949" s="7"/>
      <c r="E949" s="7"/>
      <c r="F949" s="7"/>
      <c r="G949" s="7"/>
      <c r="H949" s="15">
        <f>IFERROR(__xludf.DUMMYFUNCTION("""COMPUTED_VALUE"""),44111.66666666667)</f>
        <v>44111.66667</v>
      </c>
      <c r="I949" s="16">
        <f>IFERROR(__xludf.DUMMYFUNCTION("""COMPUTED_VALUE"""),425.3)</f>
        <v>425.3</v>
      </c>
      <c r="J949" s="7"/>
    </row>
    <row r="950">
      <c r="A950" s="7"/>
      <c r="B950" s="7"/>
      <c r="C950" s="7"/>
      <c r="D950" s="7"/>
      <c r="E950" s="7"/>
      <c r="F950" s="7"/>
      <c r="G950" s="7"/>
      <c r="H950" s="15">
        <f>IFERROR(__xludf.DUMMYFUNCTION("""COMPUTED_VALUE"""),44112.66666666667)</f>
        <v>44112.66667</v>
      </c>
      <c r="I950" s="16">
        <f>IFERROR(__xludf.DUMMYFUNCTION("""COMPUTED_VALUE"""),425.92)</f>
        <v>425.92</v>
      </c>
      <c r="J950" s="7"/>
    </row>
    <row r="951">
      <c r="A951" s="7"/>
      <c r="B951" s="7"/>
      <c r="C951" s="7"/>
      <c r="D951" s="7"/>
      <c r="E951" s="7"/>
      <c r="F951" s="7"/>
      <c r="G951" s="7"/>
      <c r="H951" s="15">
        <f>IFERROR(__xludf.DUMMYFUNCTION("""COMPUTED_VALUE"""),44113.66666666667)</f>
        <v>44113.66667</v>
      </c>
      <c r="I951" s="16">
        <f>IFERROR(__xludf.DUMMYFUNCTION("""COMPUTED_VALUE"""),434.0)</f>
        <v>434</v>
      </c>
      <c r="J951" s="7"/>
    </row>
    <row r="952">
      <c r="A952" s="7"/>
      <c r="B952" s="7"/>
      <c r="C952" s="7"/>
      <c r="D952" s="7"/>
      <c r="E952" s="7"/>
      <c r="F952" s="7"/>
      <c r="G952" s="7"/>
      <c r="H952" s="15">
        <f>IFERROR(__xludf.DUMMYFUNCTION("""COMPUTED_VALUE"""),44116.66666666667)</f>
        <v>44116.66667</v>
      </c>
      <c r="I952" s="16">
        <f>IFERROR(__xludf.DUMMYFUNCTION("""COMPUTED_VALUE"""),442.3)</f>
        <v>442.3</v>
      </c>
      <c r="J952" s="7"/>
    </row>
    <row r="953">
      <c r="A953" s="7"/>
      <c r="B953" s="7"/>
      <c r="C953" s="7"/>
      <c r="D953" s="7"/>
      <c r="E953" s="7"/>
      <c r="F953" s="7"/>
      <c r="G953" s="7"/>
      <c r="H953" s="15">
        <f>IFERROR(__xludf.DUMMYFUNCTION("""COMPUTED_VALUE"""),44117.66666666667)</f>
        <v>44117.66667</v>
      </c>
      <c r="I953" s="16">
        <f>IFERROR(__xludf.DUMMYFUNCTION("""COMPUTED_VALUE"""),446.65)</f>
        <v>446.65</v>
      </c>
      <c r="J953" s="7"/>
    </row>
    <row r="954">
      <c r="A954" s="7"/>
      <c r="B954" s="7"/>
      <c r="C954" s="7"/>
      <c r="D954" s="7"/>
      <c r="E954" s="7"/>
      <c r="F954" s="7"/>
      <c r="G954" s="7"/>
      <c r="H954" s="15">
        <f>IFERROR(__xludf.DUMMYFUNCTION("""COMPUTED_VALUE"""),44118.66666666667)</f>
        <v>44118.66667</v>
      </c>
      <c r="I954" s="16">
        <f>IFERROR(__xludf.DUMMYFUNCTION("""COMPUTED_VALUE"""),461.3)</f>
        <v>461.3</v>
      </c>
      <c r="J954" s="7"/>
    </row>
    <row r="955">
      <c r="A955" s="7"/>
      <c r="B955" s="7"/>
      <c r="C955" s="7"/>
      <c r="D955" s="7"/>
      <c r="E955" s="7"/>
      <c r="F955" s="7"/>
      <c r="G955" s="7"/>
      <c r="H955" s="15">
        <f>IFERROR(__xludf.DUMMYFUNCTION("""COMPUTED_VALUE"""),44119.66666666667)</f>
        <v>44119.66667</v>
      </c>
      <c r="I955" s="16">
        <f>IFERROR(__xludf.DUMMYFUNCTION("""COMPUTED_VALUE"""),448.88)</f>
        <v>448.88</v>
      </c>
      <c r="J955" s="7"/>
    </row>
    <row r="956">
      <c r="A956" s="7"/>
      <c r="B956" s="7"/>
      <c r="C956" s="7"/>
      <c r="D956" s="7"/>
      <c r="E956" s="7"/>
      <c r="F956" s="7"/>
      <c r="G956" s="7"/>
      <c r="H956" s="15">
        <f>IFERROR(__xludf.DUMMYFUNCTION("""COMPUTED_VALUE"""),44120.66666666667)</f>
        <v>44120.66667</v>
      </c>
      <c r="I956" s="16">
        <f>IFERROR(__xludf.DUMMYFUNCTION("""COMPUTED_VALUE"""),439.67)</f>
        <v>439.67</v>
      </c>
      <c r="J956" s="7"/>
    </row>
    <row r="957">
      <c r="A957" s="7"/>
      <c r="B957" s="7"/>
      <c r="C957" s="7"/>
      <c r="D957" s="7"/>
      <c r="E957" s="7"/>
      <c r="F957" s="7"/>
      <c r="G957" s="7"/>
      <c r="H957" s="15">
        <f>IFERROR(__xludf.DUMMYFUNCTION("""COMPUTED_VALUE"""),44123.66666666667)</f>
        <v>44123.66667</v>
      </c>
      <c r="I957" s="16">
        <f>IFERROR(__xludf.DUMMYFUNCTION("""COMPUTED_VALUE"""),430.83)</f>
        <v>430.83</v>
      </c>
      <c r="J957" s="7"/>
    </row>
    <row r="958">
      <c r="A958" s="7"/>
      <c r="B958" s="7"/>
      <c r="C958" s="7"/>
      <c r="D958" s="7"/>
      <c r="E958" s="7"/>
      <c r="F958" s="7"/>
      <c r="G958" s="7"/>
      <c r="H958" s="15">
        <f>IFERROR(__xludf.DUMMYFUNCTION("""COMPUTED_VALUE"""),44124.66666666667)</f>
        <v>44124.66667</v>
      </c>
      <c r="I958" s="16">
        <f>IFERROR(__xludf.DUMMYFUNCTION("""COMPUTED_VALUE"""),421.94)</f>
        <v>421.94</v>
      </c>
      <c r="J958" s="7"/>
    </row>
    <row r="959">
      <c r="A959" s="7"/>
      <c r="B959" s="7"/>
      <c r="C959" s="7"/>
      <c r="D959" s="7"/>
      <c r="E959" s="7"/>
      <c r="F959" s="7"/>
      <c r="G959" s="7"/>
      <c r="H959" s="15">
        <f>IFERROR(__xludf.DUMMYFUNCTION("""COMPUTED_VALUE"""),44125.66666666667)</f>
        <v>44125.66667</v>
      </c>
      <c r="I959" s="16">
        <f>IFERROR(__xludf.DUMMYFUNCTION("""COMPUTED_VALUE"""),422.64)</f>
        <v>422.64</v>
      </c>
      <c r="J959" s="7"/>
    </row>
    <row r="960">
      <c r="A960" s="7"/>
      <c r="B960" s="7"/>
      <c r="C960" s="7"/>
      <c r="D960" s="7"/>
      <c r="E960" s="7"/>
      <c r="F960" s="7"/>
      <c r="G960" s="7"/>
      <c r="H960" s="15">
        <f>IFERROR(__xludf.DUMMYFUNCTION("""COMPUTED_VALUE"""),44126.66666666667)</f>
        <v>44126.66667</v>
      </c>
      <c r="I960" s="16">
        <f>IFERROR(__xludf.DUMMYFUNCTION("""COMPUTED_VALUE"""),425.79)</f>
        <v>425.79</v>
      </c>
      <c r="J960" s="7"/>
    </row>
    <row r="961">
      <c r="A961" s="7"/>
      <c r="B961" s="7"/>
      <c r="C961" s="7"/>
      <c r="D961" s="7"/>
      <c r="E961" s="7"/>
      <c r="F961" s="7"/>
      <c r="G961" s="7"/>
      <c r="H961" s="15">
        <f>IFERROR(__xludf.DUMMYFUNCTION("""COMPUTED_VALUE"""),44127.66666666667)</f>
        <v>44127.66667</v>
      </c>
      <c r="I961" s="16">
        <f>IFERROR(__xludf.DUMMYFUNCTION("""COMPUTED_VALUE"""),420.63)</f>
        <v>420.63</v>
      </c>
      <c r="J961" s="7"/>
    </row>
    <row r="962">
      <c r="A962" s="7"/>
      <c r="B962" s="7"/>
      <c r="C962" s="7"/>
      <c r="D962" s="7"/>
      <c r="E962" s="7"/>
      <c r="F962" s="7"/>
      <c r="G962" s="7"/>
      <c r="H962" s="15">
        <f>IFERROR(__xludf.DUMMYFUNCTION("""COMPUTED_VALUE"""),44130.66666666667)</f>
        <v>44130.66667</v>
      </c>
      <c r="I962" s="16">
        <f>IFERROR(__xludf.DUMMYFUNCTION("""COMPUTED_VALUE"""),420.28)</f>
        <v>420.28</v>
      </c>
      <c r="J962" s="7"/>
    </row>
    <row r="963">
      <c r="A963" s="7"/>
      <c r="B963" s="7"/>
      <c r="C963" s="7"/>
      <c r="D963" s="7"/>
      <c r="E963" s="7"/>
      <c r="F963" s="7"/>
      <c r="G963" s="7"/>
      <c r="H963" s="15">
        <f>IFERROR(__xludf.DUMMYFUNCTION("""COMPUTED_VALUE"""),44131.66666666667)</f>
        <v>44131.66667</v>
      </c>
      <c r="I963" s="16">
        <f>IFERROR(__xludf.DUMMYFUNCTION("""COMPUTED_VALUE"""),424.68)</f>
        <v>424.68</v>
      </c>
      <c r="J963" s="7"/>
    </row>
    <row r="964">
      <c r="A964" s="7"/>
      <c r="B964" s="7"/>
      <c r="C964" s="7"/>
      <c r="D964" s="7"/>
      <c r="E964" s="7"/>
      <c r="F964" s="7"/>
      <c r="G964" s="7"/>
      <c r="H964" s="15">
        <f>IFERROR(__xludf.DUMMYFUNCTION("""COMPUTED_VALUE"""),44132.66666666667)</f>
        <v>44132.66667</v>
      </c>
      <c r="I964" s="16">
        <f>IFERROR(__xludf.DUMMYFUNCTION("""COMPUTED_VALUE"""),406.02)</f>
        <v>406.02</v>
      </c>
      <c r="J964" s="7"/>
    </row>
    <row r="965">
      <c r="A965" s="7"/>
      <c r="B965" s="7"/>
      <c r="C965" s="7"/>
      <c r="D965" s="7"/>
      <c r="E965" s="7"/>
      <c r="F965" s="7"/>
      <c r="G965" s="7"/>
      <c r="H965" s="15">
        <f>IFERROR(__xludf.DUMMYFUNCTION("""COMPUTED_VALUE"""),44133.66666666667)</f>
        <v>44133.66667</v>
      </c>
      <c r="I965" s="16">
        <f>IFERROR(__xludf.DUMMYFUNCTION("""COMPUTED_VALUE"""),410.83)</f>
        <v>410.83</v>
      </c>
      <c r="J965" s="7"/>
    </row>
    <row r="966">
      <c r="A966" s="7"/>
      <c r="B966" s="7"/>
      <c r="C966" s="7"/>
      <c r="D966" s="7"/>
      <c r="E966" s="7"/>
      <c r="F966" s="7"/>
      <c r="G966" s="7"/>
      <c r="H966" s="15">
        <f>IFERROR(__xludf.DUMMYFUNCTION("""COMPUTED_VALUE"""),44134.66666666667)</f>
        <v>44134.66667</v>
      </c>
      <c r="I966" s="16">
        <f>IFERROR(__xludf.DUMMYFUNCTION("""COMPUTED_VALUE"""),388.04)</f>
        <v>388.04</v>
      </c>
      <c r="J966" s="7"/>
    </row>
    <row r="967">
      <c r="A967" s="7"/>
      <c r="B967" s="7"/>
      <c r="C967" s="7"/>
      <c r="D967" s="7"/>
      <c r="E967" s="7"/>
      <c r="F967" s="7"/>
      <c r="G967" s="7"/>
      <c r="H967" s="15">
        <f>IFERROR(__xludf.DUMMYFUNCTION("""COMPUTED_VALUE"""),44137.66666666667)</f>
        <v>44137.66667</v>
      </c>
      <c r="I967" s="16">
        <f>IFERROR(__xludf.DUMMYFUNCTION("""COMPUTED_VALUE"""),400.51)</f>
        <v>400.51</v>
      </c>
      <c r="J967" s="7"/>
    </row>
    <row r="968">
      <c r="A968" s="7"/>
      <c r="B968" s="7"/>
      <c r="C968" s="7"/>
      <c r="D968" s="7"/>
      <c r="E968" s="7"/>
      <c r="F968" s="7"/>
      <c r="G968" s="7"/>
      <c r="H968" s="15">
        <f>IFERROR(__xludf.DUMMYFUNCTION("""COMPUTED_VALUE"""),44138.66666666667)</f>
        <v>44138.66667</v>
      </c>
      <c r="I968" s="16">
        <f>IFERROR(__xludf.DUMMYFUNCTION("""COMPUTED_VALUE"""),423.9)</f>
        <v>423.9</v>
      </c>
      <c r="J968" s="7"/>
    </row>
    <row r="969">
      <c r="A969" s="7"/>
      <c r="B969" s="7"/>
      <c r="C969" s="7"/>
      <c r="D969" s="7"/>
      <c r="E969" s="7"/>
      <c r="F969" s="7"/>
      <c r="G969" s="7"/>
      <c r="H969" s="15">
        <f>IFERROR(__xludf.DUMMYFUNCTION("""COMPUTED_VALUE"""),44139.66666666667)</f>
        <v>44139.66667</v>
      </c>
      <c r="I969" s="16">
        <f>IFERROR(__xludf.DUMMYFUNCTION("""COMPUTED_VALUE"""),420.98)</f>
        <v>420.98</v>
      </c>
      <c r="J969" s="7"/>
    </row>
    <row r="970">
      <c r="A970" s="7"/>
      <c r="B970" s="7"/>
      <c r="C970" s="7"/>
      <c r="D970" s="7"/>
      <c r="E970" s="7"/>
      <c r="F970" s="7"/>
      <c r="G970" s="7"/>
      <c r="H970" s="15">
        <f>IFERROR(__xludf.DUMMYFUNCTION("""COMPUTED_VALUE"""),44140.66666666667)</f>
        <v>44140.66667</v>
      </c>
      <c r="I970" s="16">
        <f>IFERROR(__xludf.DUMMYFUNCTION("""COMPUTED_VALUE"""),438.09)</f>
        <v>438.09</v>
      </c>
      <c r="J970" s="7"/>
    </row>
    <row r="971">
      <c r="A971" s="7"/>
      <c r="B971" s="7"/>
      <c r="C971" s="7"/>
      <c r="D971" s="7"/>
      <c r="E971" s="7"/>
      <c r="F971" s="7"/>
      <c r="G971" s="7"/>
      <c r="H971" s="15">
        <f>IFERROR(__xludf.DUMMYFUNCTION("""COMPUTED_VALUE"""),44141.66666666667)</f>
        <v>44141.66667</v>
      </c>
      <c r="I971" s="16">
        <f>IFERROR(__xludf.DUMMYFUNCTION("""COMPUTED_VALUE"""),429.95)</f>
        <v>429.95</v>
      </c>
      <c r="J971" s="7"/>
    </row>
    <row r="972">
      <c r="A972" s="7"/>
      <c r="B972" s="7"/>
      <c r="C972" s="7"/>
      <c r="D972" s="7"/>
      <c r="E972" s="7"/>
      <c r="F972" s="7"/>
      <c r="G972" s="7"/>
      <c r="H972" s="15">
        <f>IFERROR(__xludf.DUMMYFUNCTION("""COMPUTED_VALUE"""),44144.66666666667)</f>
        <v>44144.66667</v>
      </c>
      <c r="I972" s="16">
        <f>IFERROR(__xludf.DUMMYFUNCTION("""COMPUTED_VALUE"""),421.26)</f>
        <v>421.26</v>
      </c>
      <c r="J972" s="7"/>
    </row>
    <row r="973">
      <c r="A973" s="7"/>
      <c r="B973" s="7"/>
      <c r="C973" s="7"/>
      <c r="D973" s="7"/>
      <c r="E973" s="7"/>
      <c r="F973" s="7"/>
      <c r="G973" s="7"/>
      <c r="H973" s="15">
        <f>IFERROR(__xludf.DUMMYFUNCTION("""COMPUTED_VALUE"""),44145.66666666667)</f>
        <v>44145.66667</v>
      </c>
      <c r="I973" s="16">
        <f>IFERROR(__xludf.DUMMYFUNCTION("""COMPUTED_VALUE"""),410.36)</f>
        <v>410.36</v>
      </c>
      <c r="J973" s="7"/>
    </row>
    <row r="974">
      <c r="A974" s="7"/>
      <c r="B974" s="7"/>
      <c r="C974" s="7"/>
      <c r="D974" s="7"/>
      <c r="E974" s="7"/>
      <c r="F974" s="7"/>
      <c r="G974" s="7"/>
      <c r="H974" s="15">
        <f>IFERROR(__xludf.DUMMYFUNCTION("""COMPUTED_VALUE"""),44146.66666666667)</f>
        <v>44146.66667</v>
      </c>
      <c r="I974" s="16">
        <f>IFERROR(__xludf.DUMMYFUNCTION("""COMPUTED_VALUE"""),417.13)</f>
        <v>417.13</v>
      </c>
      <c r="J974" s="7"/>
    </row>
    <row r="975">
      <c r="A975" s="7"/>
      <c r="B975" s="7"/>
      <c r="C975" s="7"/>
      <c r="D975" s="7"/>
      <c r="E975" s="7"/>
      <c r="F975" s="7"/>
      <c r="G975" s="7"/>
      <c r="H975" s="15">
        <f>IFERROR(__xludf.DUMMYFUNCTION("""COMPUTED_VALUE"""),44147.66666666667)</f>
        <v>44147.66667</v>
      </c>
      <c r="I975" s="16">
        <f>IFERROR(__xludf.DUMMYFUNCTION("""COMPUTED_VALUE"""),411.76)</f>
        <v>411.76</v>
      </c>
      <c r="J975" s="7"/>
    </row>
    <row r="976">
      <c r="A976" s="7"/>
      <c r="B976" s="7"/>
      <c r="C976" s="7"/>
      <c r="D976" s="7"/>
      <c r="E976" s="7"/>
      <c r="F976" s="7"/>
      <c r="G976" s="7"/>
      <c r="H976" s="15">
        <f>IFERROR(__xludf.DUMMYFUNCTION("""COMPUTED_VALUE"""),44148.66666666667)</f>
        <v>44148.66667</v>
      </c>
      <c r="I976" s="16">
        <f>IFERROR(__xludf.DUMMYFUNCTION("""COMPUTED_VALUE"""),408.5)</f>
        <v>408.5</v>
      </c>
      <c r="J976" s="7"/>
    </row>
    <row r="977">
      <c r="A977" s="7"/>
      <c r="B977" s="7"/>
      <c r="C977" s="7"/>
      <c r="D977" s="7"/>
      <c r="E977" s="7"/>
      <c r="F977" s="7"/>
      <c r="G977" s="7"/>
      <c r="H977" s="15">
        <f>IFERROR(__xludf.DUMMYFUNCTION("""COMPUTED_VALUE"""),44151.66666666667)</f>
        <v>44151.66667</v>
      </c>
      <c r="I977" s="16">
        <f>IFERROR(__xludf.DUMMYFUNCTION("""COMPUTED_VALUE"""),408.09)</f>
        <v>408.09</v>
      </c>
      <c r="J977" s="7"/>
    </row>
    <row r="978">
      <c r="A978" s="7"/>
      <c r="B978" s="7"/>
      <c r="C978" s="7"/>
      <c r="D978" s="7"/>
      <c r="E978" s="7"/>
      <c r="F978" s="7"/>
      <c r="G978" s="7"/>
      <c r="H978" s="15">
        <f>IFERROR(__xludf.DUMMYFUNCTION("""COMPUTED_VALUE"""),44152.66666666667)</f>
        <v>44152.66667</v>
      </c>
      <c r="I978" s="16">
        <f>IFERROR(__xludf.DUMMYFUNCTION("""COMPUTED_VALUE"""),441.61)</f>
        <v>441.61</v>
      </c>
      <c r="J978" s="7"/>
    </row>
    <row r="979">
      <c r="A979" s="7"/>
      <c r="B979" s="7"/>
      <c r="C979" s="7"/>
      <c r="D979" s="7"/>
      <c r="E979" s="7"/>
      <c r="F979" s="7"/>
      <c r="G979" s="7"/>
      <c r="H979" s="15">
        <f>IFERROR(__xludf.DUMMYFUNCTION("""COMPUTED_VALUE"""),44153.66666666667)</f>
        <v>44153.66667</v>
      </c>
      <c r="I979" s="16">
        <f>IFERROR(__xludf.DUMMYFUNCTION("""COMPUTED_VALUE"""),486.64)</f>
        <v>486.64</v>
      </c>
      <c r="J979" s="7"/>
    </row>
    <row r="980">
      <c r="A980" s="7"/>
      <c r="B980" s="7"/>
      <c r="C980" s="7"/>
      <c r="D980" s="7"/>
      <c r="E980" s="7"/>
      <c r="F980" s="7"/>
      <c r="G980" s="7"/>
      <c r="H980" s="15">
        <f>IFERROR(__xludf.DUMMYFUNCTION("""COMPUTED_VALUE"""),44154.66666666667)</f>
        <v>44154.66667</v>
      </c>
      <c r="I980" s="16">
        <f>IFERROR(__xludf.DUMMYFUNCTION("""COMPUTED_VALUE"""),499.27)</f>
        <v>499.27</v>
      </c>
      <c r="J980" s="7"/>
    </row>
    <row r="981">
      <c r="A981" s="7"/>
      <c r="B981" s="7"/>
      <c r="C981" s="7"/>
      <c r="D981" s="7"/>
      <c r="E981" s="7"/>
      <c r="F981" s="7"/>
      <c r="G981" s="7"/>
      <c r="H981" s="15">
        <f>IFERROR(__xludf.DUMMYFUNCTION("""COMPUTED_VALUE"""),44155.66666666667)</f>
        <v>44155.66667</v>
      </c>
      <c r="I981" s="16">
        <f>IFERROR(__xludf.DUMMYFUNCTION("""COMPUTED_VALUE"""),489.61)</f>
        <v>489.61</v>
      </c>
      <c r="J981" s="7"/>
    </row>
    <row r="982">
      <c r="A982" s="7"/>
      <c r="B982" s="7"/>
      <c r="C982" s="7"/>
      <c r="D982" s="7"/>
      <c r="E982" s="7"/>
      <c r="F982" s="7"/>
      <c r="G982" s="7"/>
      <c r="H982" s="15">
        <f>IFERROR(__xludf.DUMMYFUNCTION("""COMPUTED_VALUE"""),44158.66666666667)</f>
        <v>44158.66667</v>
      </c>
      <c r="I982" s="16">
        <f>IFERROR(__xludf.DUMMYFUNCTION("""COMPUTED_VALUE"""),521.85)</f>
        <v>521.85</v>
      </c>
      <c r="J982" s="7"/>
    </row>
    <row r="983">
      <c r="A983" s="7"/>
      <c r="B983" s="7"/>
      <c r="C983" s="7"/>
      <c r="D983" s="7"/>
      <c r="E983" s="7"/>
      <c r="F983" s="7"/>
      <c r="G983" s="7"/>
      <c r="H983" s="15">
        <f>IFERROR(__xludf.DUMMYFUNCTION("""COMPUTED_VALUE"""),44159.66666666667)</f>
        <v>44159.66667</v>
      </c>
      <c r="I983" s="16">
        <f>IFERROR(__xludf.DUMMYFUNCTION("""COMPUTED_VALUE"""),555.38)</f>
        <v>555.38</v>
      </c>
      <c r="J983" s="7"/>
    </row>
    <row r="984">
      <c r="A984" s="7"/>
      <c r="B984" s="7"/>
      <c r="C984" s="7"/>
      <c r="D984" s="7"/>
      <c r="E984" s="7"/>
      <c r="F984" s="7"/>
      <c r="G984" s="7"/>
      <c r="H984" s="15">
        <f>IFERROR(__xludf.DUMMYFUNCTION("""COMPUTED_VALUE"""),44160.66666666667)</f>
        <v>44160.66667</v>
      </c>
      <c r="I984" s="16">
        <f>IFERROR(__xludf.DUMMYFUNCTION("""COMPUTED_VALUE"""),574.0)</f>
        <v>574</v>
      </c>
      <c r="J984" s="7"/>
    </row>
    <row r="985">
      <c r="A985" s="7"/>
      <c r="B985" s="7"/>
      <c r="C985" s="7"/>
      <c r="D985" s="7"/>
      <c r="E985" s="7"/>
      <c r="F985" s="7"/>
      <c r="G985" s="7"/>
      <c r="H985" s="15">
        <f>IFERROR(__xludf.DUMMYFUNCTION("""COMPUTED_VALUE"""),44162.54166666667)</f>
        <v>44162.54167</v>
      </c>
      <c r="I985" s="16">
        <f>IFERROR(__xludf.DUMMYFUNCTION("""COMPUTED_VALUE"""),585.76)</f>
        <v>585.76</v>
      </c>
      <c r="J985" s="7"/>
    </row>
    <row r="986">
      <c r="A986" s="7"/>
      <c r="B986" s="7"/>
      <c r="C986" s="7"/>
      <c r="D986" s="7"/>
      <c r="E986" s="7"/>
      <c r="F986" s="7"/>
      <c r="G986" s="7"/>
      <c r="H986" s="15">
        <f>IFERROR(__xludf.DUMMYFUNCTION("""COMPUTED_VALUE"""),44165.66666666667)</f>
        <v>44165.66667</v>
      </c>
      <c r="I986" s="16">
        <f>IFERROR(__xludf.DUMMYFUNCTION("""COMPUTED_VALUE"""),567.6)</f>
        <v>567.6</v>
      </c>
      <c r="J986" s="7"/>
    </row>
    <row r="987">
      <c r="A987" s="7"/>
      <c r="B987" s="7"/>
      <c r="C987" s="7"/>
      <c r="D987" s="7"/>
      <c r="E987" s="7"/>
      <c r="F987" s="7"/>
      <c r="G987" s="7"/>
      <c r="H987" s="15">
        <f>IFERROR(__xludf.DUMMYFUNCTION("""COMPUTED_VALUE"""),44166.66666666667)</f>
        <v>44166.66667</v>
      </c>
      <c r="I987" s="16">
        <f>IFERROR(__xludf.DUMMYFUNCTION("""COMPUTED_VALUE"""),584.76)</f>
        <v>584.76</v>
      </c>
      <c r="J987" s="7"/>
    </row>
    <row r="988">
      <c r="A988" s="7"/>
      <c r="B988" s="7"/>
      <c r="C988" s="7"/>
      <c r="D988" s="7"/>
      <c r="E988" s="7"/>
      <c r="F988" s="7"/>
      <c r="G988" s="7"/>
      <c r="H988" s="15">
        <f>IFERROR(__xludf.DUMMYFUNCTION("""COMPUTED_VALUE"""),44167.66666666667)</f>
        <v>44167.66667</v>
      </c>
      <c r="I988" s="16">
        <f>IFERROR(__xludf.DUMMYFUNCTION("""COMPUTED_VALUE"""),568.82)</f>
        <v>568.82</v>
      </c>
      <c r="J988" s="7"/>
    </row>
    <row r="989">
      <c r="A989" s="7"/>
      <c r="B989" s="7"/>
      <c r="C989" s="7"/>
      <c r="D989" s="7"/>
      <c r="E989" s="7"/>
      <c r="F989" s="7"/>
      <c r="G989" s="7"/>
      <c r="H989" s="15">
        <f>IFERROR(__xludf.DUMMYFUNCTION("""COMPUTED_VALUE"""),44168.66666666667)</f>
        <v>44168.66667</v>
      </c>
      <c r="I989" s="16">
        <f>IFERROR(__xludf.DUMMYFUNCTION("""COMPUTED_VALUE"""),593.38)</f>
        <v>593.38</v>
      </c>
      <c r="J989" s="7"/>
    </row>
    <row r="990">
      <c r="A990" s="7"/>
      <c r="B990" s="7"/>
      <c r="C990" s="7"/>
      <c r="D990" s="7"/>
      <c r="E990" s="7"/>
      <c r="F990" s="7"/>
      <c r="G990" s="7"/>
      <c r="H990" s="15">
        <f>IFERROR(__xludf.DUMMYFUNCTION("""COMPUTED_VALUE"""),44169.66666666667)</f>
        <v>44169.66667</v>
      </c>
      <c r="I990" s="16">
        <f>IFERROR(__xludf.DUMMYFUNCTION("""COMPUTED_VALUE"""),599.04)</f>
        <v>599.04</v>
      </c>
      <c r="J990" s="7"/>
    </row>
    <row r="991">
      <c r="A991" s="7"/>
      <c r="B991" s="7"/>
      <c r="C991" s="7"/>
      <c r="D991" s="7"/>
      <c r="E991" s="7"/>
      <c r="F991" s="7"/>
      <c r="G991" s="7"/>
      <c r="H991" s="15">
        <f>IFERROR(__xludf.DUMMYFUNCTION("""COMPUTED_VALUE"""),44172.66666666667)</f>
        <v>44172.66667</v>
      </c>
      <c r="I991" s="16">
        <f>IFERROR(__xludf.DUMMYFUNCTION("""COMPUTED_VALUE"""),641.76)</f>
        <v>641.76</v>
      </c>
      <c r="J991" s="7"/>
    </row>
    <row r="992">
      <c r="A992" s="7"/>
      <c r="B992" s="7"/>
      <c r="C992" s="7"/>
      <c r="D992" s="7"/>
      <c r="E992" s="7"/>
      <c r="F992" s="7"/>
      <c r="G992" s="7"/>
      <c r="H992" s="15">
        <f>IFERROR(__xludf.DUMMYFUNCTION("""COMPUTED_VALUE"""),44173.66666666667)</f>
        <v>44173.66667</v>
      </c>
      <c r="I992" s="16">
        <f>IFERROR(__xludf.DUMMYFUNCTION("""COMPUTED_VALUE"""),649.88)</f>
        <v>649.88</v>
      </c>
      <c r="J992" s="7"/>
    </row>
    <row r="993">
      <c r="A993" s="7"/>
      <c r="B993" s="7"/>
      <c r="C993" s="7"/>
      <c r="D993" s="7"/>
      <c r="E993" s="7"/>
      <c r="F993" s="7"/>
      <c r="G993" s="7"/>
      <c r="H993" s="15">
        <f>IFERROR(__xludf.DUMMYFUNCTION("""COMPUTED_VALUE"""),44174.66666666667)</f>
        <v>44174.66667</v>
      </c>
      <c r="I993" s="16">
        <f>IFERROR(__xludf.DUMMYFUNCTION("""COMPUTED_VALUE"""),604.48)</f>
        <v>604.48</v>
      </c>
      <c r="J993" s="7"/>
    </row>
    <row r="994">
      <c r="A994" s="7"/>
      <c r="B994" s="7"/>
      <c r="C994" s="7"/>
      <c r="D994" s="7"/>
      <c r="E994" s="7"/>
      <c r="F994" s="7"/>
      <c r="G994" s="7"/>
      <c r="H994" s="15">
        <f>IFERROR(__xludf.DUMMYFUNCTION("""COMPUTED_VALUE"""),44175.66666666667)</f>
        <v>44175.66667</v>
      </c>
      <c r="I994" s="16">
        <f>IFERROR(__xludf.DUMMYFUNCTION("""COMPUTED_VALUE"""),627.07)</f>
        <v>627.07</v>
      </c>
      <c r="J994" s="7"/>
    </row>
    <row r="995">
      <c r="A995" s="7"/>
      <c r="B995" s="7"/>
      <c r="C995" s="7"/>
      <c r="D995" s="7"/>
      <c r="E995" s="7"/>
      <c r="F995" s="7"/>
      <c r="G995" s="7"/>
      <c r="H995" s="15">
        <f>IFERROR(__xludf.DUMMYFUNCTION("""COMPUTED_VALUE"""),44176.66666666667)</f>
        <v>44176.66667</v>
      </c>
      <c r="I995" s="16">
        <f>IFERROR(__xludf.DUMMYFUNCTION("""COMPUTED_VALUE"""),609.99)</f>
        <v>609.99</v>
      </c>
      <c r="J995" s="7"/>
    </row>
    <row r="996">
      <c r="A996" s="7"/>
      <c r="B996" s="7"/>
      <c r="C996" s="7"/>
      <c r="D996" s="7"/>
      <c r="E996" s="7"/>
      <c r="F996" s="7"/>
      <c r="G996" s="7"/>
      <c r="H996" s="15">
        <f>IFERROR(__xludf.DUMMYFUNCTION("""COMPUTED_VALUE"""),44179.66666666667)</f>
        <v>44179.66667</v>
      </c>
      <c r="I996" s="16">
        <f>IFERROR(__xludf.DUMMYFUNCTION("""COMPUTED_VALUE"""),639.83)</f>
        <v>639.83</v>
      </c>
      <c r="J996" s="7"/>
    </row>
    <row r="997">
      <c r="A997" s="7"/>
      <c r="B997" s="7"/>
      <c r="C997" s="7"/>
      <c r="D997" s="7"/>
      <c r="E997" s="7"/>
      <c r="F997" s="7"/>
      <c r="G997" s="7"/>
      <c r="H997" s="15">
        <f>IFERROR(__xludf.DUMMYFUNCTION("""COMPUTED_VALUE"""),44180.66666666667)</f>
        <v>44180.66667</v>
      </c>
      <c r="I997" s="16">
        <f>IFERROR(__xludf.DUMMYFUNCTION("""COMPUTED_VALUE"""),633.25)</f>
        <v>633.25</v>
      </c>
      <c r="J997" s="7"/>
    </row>
    <row r="998">
      <c r="A998" s="7"/>
      <c r="B998" s="7"/>
      <c r="C998" s="7"/>
      <c r="D998" s="7"/>
      <c r="E998" s="7"/>
      <c r="F998" s="7"/>
      <c r="G998" s="7"/>
      <c r="H998" s="15">
        <f>IFERROR(__xludf.DUMMYFUNCTION("""COMPUTED_VALUE"""),44181.66666666667)</f>
        <v>44181.66667</v>
      </c>
      <c r="I998" s="16">
        <f>IFERROR(__xludf.DUMMYFUNCTION("""COMPUTED_VALUE"""),622.77)</f>
        <v>622.77</v>
      </c>
      <c r="J998" s="7"/>
    </row>
    <row r="999">
      <c r="A999" s="7"/>
      <c r="B999" s="7"/>
      <c r="C999" s="7"/>
      <c r="D999" s="7"/>
      <c r="E999" s="7"/>
      <c r="F999" s="7"/>
      <c r="G999" s="7"/>
      <c r="H999" s="15">
        <f>IFERROR(__xludf.DUMMYFUNCTION("""COMPUTED_VALUE"""),44182.66666666667)</f>
        <v>44182.66667</v>
      </c>
      <c r="I999" s="16">
        <f>IFERROR(__xludf.DUMMYFUNCTION("""COMPUTED_VALUE"""),655.9)</f>
        <v>655.9</v>
      </c>
      <c r="J999" s="7"/>
    </row>
    <row r="1000">
      <c r="A1000" s="7"/>
      <c r="B1000" s="7"/>
      <c r="C1000" s="7"/>
      <c r="D1000" s="7"/>
      <c r="E1000" s="7"/>
      <c r="F1000" s="7"/>
      <c r="G1000" s="7"/>
      <c r="H1000" s="15">
        <f>IFERROR(__xludf.DUMMYFUNCTION("""COMPUTED_VALUE"""),44183.66666666667)</f>
        <v>44183.66667</v>
      </c>
      <c r="I1000" s="16">
        <f>IFERROR(__xludf.DUMMYFUNCTION("""COMPUTED_VALUE"""),695.0)</f>
        <v>695</v>
      </c>
      <c r="J1000" s="7"/>
    </row>
    <row r="1001">
      <c r="A1001" s="7"/>
      <c r="B1001" s="7"/>
      <c r="C1001" s="7"/>
      <c r="D1001" s="7"/>
      <c r="E1001" s="7"/>
      <c r="F1001" s="7"/>
      <c r="G1001" s="7"/>
      <c r="H1001" s="15">
        <f>IFERROR(__xludf.DUMMYFUNCTION("""COMPUTED_VALUE"""),44186.66666666667)</f>
        <v>44186.66667</v>
      </c>
      <c r="I1001" s="16">
        <f>IFERROR(__xludf.DUMMYFUNCTION("""COMPUTED_VALUE"""),649.86)</f>
        <v>649.86</v>
      </c>
      <c r="J1001" s="7"/>
    </row>
    <row r="1002">
      <c r="A1002" s="7"/>
      <c r="B1002" s="7"/>
      <c r="C1002" s="7"/>
      <c r="D1002" s="7"/>
      <c r="E1002" s="7"/>
      <c r="F1002" s="7"/>
      <c r="G1002" s="7"/>
      <c r="H1002" s="15">
        <f>IFERROR(__xludf.DUMMYFUNCTION("""COMPUTED_VALUE"""),44187.66666666667)</f>
        <v>44187.66667</v>
      </c>
      <c r="I1002" s="16">
        <f>IFERROR(__xludf.DUMMYFUNCTION("""COMPUTED_VALUE"""),640.34)</f>
        <v>640.34</v>
      </c>
      <c r="J1002" s="7"/>
    </row>
    <row r="1003">
      <c r="A1003" s="7"/>
      <c r="B1003" s="7"/>
      <c r="C1003" s="7"/>
      <c r="D1003" s="7"/>
      <c r="E1003" s="7"/>
      <c r="F1003" s="7"/>
      <c r="G1003" s="7"/>
      <c r="H1003" s="15">
        <f>IFERROR(__xludf.DUMMYFUNCTION("""COMPUTED_VALUE"""),44188.66666666667)</f>
        <v>44188.66667</v>
      </c>
      <c r="I1003" s="16">
        <f>IFERROR(__xludf.DUMMYFUNCTION("""COMPUTED_VALUE"""),645.98)</f>
        <v>645.98</v>
      </c>
      <c r="J1003" s="7"/>
    </row>
    <row r="1004">
      <c r="A1004" s="7"/>
      <c r="B1004" s="7"/>
      <c r="C1004" s="7"/>
      <c r="D1004" s="7"/>
      <c r="E1004" s="7"/>
      <c r="F1004" s="7"/>
      <c r="G1004" s="7"/>
      <c r="H1004" s="15">
        <f>IFERROR(__xludf.DUMMYFUNCTION("""COMPUTED_VALUE"""),44189.54166666667)</f>
        <v>44189.54167</v>
      </c>
      <c r="I1004" s="16">
        <f>IFERROR(__xludf.DUMMYFUNCTION("""COMPUTED_VALUE"""),661.77)</f>
        <v>661.77</v>
      </c>
      <c r="J1004" s="7"/>
    </row>
    <row r="1005">
      <c r="A1005" s="7"/>
      <c r="B1005" s="7"/>
      <c r="C1005" s="7"/>
      <c r="D1005" s="7"/>
      <c r="E1005" s="7"/>
      <c r="F1005" s="7"/>
      <c r="G1005" s="7"/>
      <c r="H1005" s="15">
        <f>IFERROR(__xludf.DUMMYFUNCTION("""COMPUTED_VALUE"""),44193.66666666667)</f>
        <v>44193.66667</v>
      </c>
      <c r="I1005" s="16">
        <f>IFERROR(__xludf.DUMMYFUNCTION("""COMPUTED_VALUE"""),663.69)</f>
        <v>663.69</v>
      </c>
      <c r="J1005" s="7"/>
    </row>
    <row r="1006">
      <c r="A1006" s="7"/>
      <c r="B1006" s="7"/>
      <c r="C1006" s="7"/>
      <c r="D1006" s="7"/>
      <c r="E1006" s="7"/>
      <c r="F1006" s="7"/>
      <c r="G1006" s="7"/>
      <c r="H1006" s="15">
        <f>IFERROR(__xludf.DUMMYFUNCTION("""COMPUTED_VALUE"""),44194.66666666667)</f>
        <v>44194.66667</v>
      </c>
      <c r="I1006" s="16">
        <f>IFERROR(__xludf.DUMMYFUNCTION("""COMPUTED_VALUE"""),665.99)</f>
        <v>665.99</v>
      </c>
      <c r="J1006" s="7"/>
    </row>
    <row r="1007">
      <c r="A1007" s="7"/>
      <c r="B1007" s="7"/>
      <c r="C1007" s="7"/>
      <c r="D1007" s="7"/>
      <c r="E1007" s="7"/>
      <c r="F1007" s="7"/>
      <c r="G1007" s="7"/>
      <c r="H1007" s="15">
        <f>IFERROR(__xludf.DUMMYFUNCTION("""COMPUTED_VALUE"""),44195.66666666667)</f>
        <v>44195.66667</v>
      </c>
      <c r="I1007" s="16">
        <f>IFERROR(__xludf.DUMMYFUNCTION("""COMPUTED_VALUE"""),694.78)</f>
        <v>694.78</v>
      </c>
      <c r="J1007" s="7"/>
    </row>
    <row r="1008">
      <c r="A1008" s="7"/>
      <c r="B1008" s="7"/>
      <c r="C1008" s="7"/>
      <c r="D1008" s="7"/>
      <c r="E1008" s="7"/>
      <c r="F1008" s="7"/>
      <c r="G1008" s="7"/>
      <c r="H1008" s="15">
        <f>IFERROR(__xludf.DUMMYFUNCTION("""COMPUTED_VALUE"""),44196.66666666667)</f>
        <v>44196.66667</v>
      </c>
      <c r="I1008" s="16">
        <f>IFERROR(__xludf.DUMMYFUNCTION("""COMPUTED_VALUE"""),705.67)</f>
        <v>705.67</v>
      </c>
      <c r="J1008" s="7"/>
    </row>
    <row r="1009">
      <c r="A1009" s="7"/>
      <c r="B1009" s="7"/>
      <c r="C1009" s="7"/>
      <c r="D1009" s="7"/>
      <c r="E1009" s="7"/>
      <c r="F1009" s="7"/>
      <c r="G1009" s="7"/>
      <c r="H1009" s="15">
        <f>IFERROR(__xludf.DUMMYFUNCTION("""COMPUTED_VALUE"""),44200.66666666667)</f>
        <v>44200.66667</v>
      </c>
      <c r="I1009" s="16">
        <f>IFERROR(__xludf.DUMMYFUNCTION("""COMPUTED_VALUE"""),729.77)</f>
        <v>729.77</v>
      </c>
      <c r="J1009" s="7"/>
    </row>
    <row r="1010">
      <c r="A1010" s="7"/>
      <c r="B1010" s="7"/>
      <c r="C1010" s="7"/>
      <c r="D1010" s="7"/>
      <c r="E1010" s="7"/>
      <c r="F1010" s="7"/>
      <c r="G1010" s="7"/>
      <c r="H1010" s="15">
        <f>IFERROR(__xludf.DUMMYFUNCTION("""COMPUTED_VALUE"""),44201.66666666667)</f>
        <v>44201.66667</v>
      </c>
      <c r="I1010" s="16">
        <f>IFERROR(__xludf.DUMMYFUNCTION("""COMPUTED_VALUE"""),735.11)</f>
        <v>735.11</v>
      </c>
      <c r="J1010" s="7"/>
    </row>
    <row r="1011">
      <c r="A1011" s="7"/>
      <c r="B1011" s="7"/>
      <c r="C1011" s="7"/>
      <c r="D1011" s="7"/>
      <c r="E1011" s="7"/>
      <c r="F1011" s="7"/>
      <c r="G1011" s="7"/>
      <c r="H1011" s="15">
        <f>IFERROR(__xludf.DUMMYFUNCTION("""COMPUTED_VALUE"""),44202.66666666667)</f>
        <v>44202.66667</v>
      </c>
      <c r="I1011" s="16">
        <f>IFERROR(__xludf.DUMMYFUNCTION("""COMPUTED_VALUE"""),755.98)</f>
        <v>755.98</v>
      </c>
      <c r="J1011" s="7"/>
    </row>
    <row r="1012">
      <c r="A1012" s="7"/>
      <c r="B1012" s="7"/>
      <c r="C1012" s="7"/>
      <c r="D1012" s="7"/>
      <c r="E1012" s="7"/>
      <c r="F1012" s="7"/>
      <c r="G1012" s="7"/>
      <c r="H1012" s="15">
        <f>IFERROR(__xludf.DUMMYFUNCTION("""COMPUTED_VALUE"""),44203.66666666667)</f>
        <v>44203.66667</v>
      </c>
      <c r="I1012" s="16">
        <f>IFERROR(__xludf.DUMMYFUNCTION("""COMPUTED_VALUE"""),816.04)</f>
        <v>816.04</v>
      </c>
      <c r="J1012" s="7"/>
    </row>
    <row r="1013">
      <c r="A1013" s="7"/>
      <c r="B1013" s="7"/>
      <c r="C1013" s="7"/>
      <c r="D1013" s="7"/>
      <c r="E1013" s="7"/>
      <c r="F1013" s="7"/>
      <c r="G1013" s="7"/>
      <c r="H1013" s="15">
        <f>IFERROR(__xludf.DUMMYFUNCTION("""COMPUTED_VALUE"""),44204.66666666667)</f>
        <v>44204.66667</v>
      </c>
      <c r="I1013" s="16">
        <f>IFERROR(__xludf.DUMMYFUNCTION("""COMPUTED_VALUE"""),880.02)</f>
        <v>880.02</v>
      </c>
      <c r="J1013" s="7"/>
    </row>
    <row r="1014">
      <c r="A1014" s="7"/>
      <c r="B1014" s="7"/>
      <c r="C1014" s="7"/>
      <c r="D1014" s="7"/>
      <c r="E1014" s="7"/>
      <c r="F1014" s="7"/>
      <c r="G1014" s="7"/>
      <c r="H1014" s="15">
        <f>IFERROR(__xludf.DUMMYFUNCTION("""COMPUTED_VALUE"""),44207.66666666667)</f>
        <v>44207.66667</v>
      </c>
      <c r="I1014" s="16">
        <f>IFERROR(__xludf.DUMMYFUNCTION("""COMPUTED_VALUE"""),811.19)</f>
        <v>811.19</v>
      </c>
      <c r="J1014" s="7"/>
    </row>
    <row r="1015">
      <c r="A1015" s="7"/>
      <c r="B1015" s="7"/>
      <c r="C1015" s="7"/>
      <c r="D1015" s="7"/>
      <c r="E1015" s="7"/>
      <c r="F1015" s="7"/>
      <c r="G1015" s="7"/>
      <c r="H1015" s="15">
        <f>IFERROR(__xludf.DUMMYFUNCTION("""COMPUTED_VALUE"""),44208.66666666667)</f>
        <v>44208.66667</v>
      </c>
      <c r="I1015" s="16">
        <f>IFERROR(__xludf.DUMMYFUNCTION("""COMPUTED_VALUE"""),849.44)</f>
        <v>849.44</v>
      </c>
      <c r="J1015" s="7"/>
    </row>
    <row r="1016">
      <c r="A1016" s="7"/>
      <c r="B1016" s="7"/>
      <c r="C1016" s="7"/>
      <c r="D1016" s="7"/>
      <c r="E1016" s="7"/>
      <c r="F1016" s="7"/>
      <c r="G1016" s="7"/>
      <c r="H1016" s="15">
        <f>IFERROR(__xludf.DUMMYFUNCTION("""COMPUTED_VALUE"""),44209.66666666667)</f>
        <v>44209.66667</v>
      </c>
      <c r="I1016" s="16">
        <f>IFERROR(__xludf.DUMMYFUNCTION("""COMPUTED_VALUE"""),854.41)</f>
        <v>854.41</v>
      </c>
      <c r="J1016" s="7"/>
    </row>
    <row r="1017">
      <c r="A1017" s="7"/>
      <c r="B1017" s="7"/>
      <c r="C1017" s="7"/>
      <c r="D1017" s="7"/>
      <c r="E1017" s="7"/>
      <c r="F1017" s="7"/>
      <c r="G1017" s="7"/>
      <c r="H1017" s="15">
        <f>IFERROR(__xludf.DUMMYFUNCTION("""COMPUTED_VALUE"""),44210.66666666667)</f>
        <v>44210.66667</v>
      </c>
      <c r="I1017" s="16">
        <f>IFERROR(__xludf.DUMMYFUNCTION("""COMPUTED_VALUE"""),845.0)</f>
        <v>845</v>
      </c>
      <c r="J1017" s="7"/>
    </row>
    <row r="1018">
      <c r="A1018" s="7"/>
      <c r="B1018" s="7"/>
      <c r="C1018" s="7"/>
      <c r="D1018" s="7"/>
      <c r="E1018" s="7"/>
      <c r="F1018" s="7"/>
      <c r="G1018" s="7"/>
      <c r="H1018" s="15">
        <f>IFERROR(__xludf.DUMMYFUNCTION("""COMPUTED_VALUE"""),44211.66666666667)</f>
        <v>44211.66667</v>
      </c>
      <c r="I1018" s="16">
        <f>IFERROR(__xludf.DUMMYFUNCTION("""COMPUTED_VALUE"""),826.16)</f>
        <v>826.16</v>
      </c>
      <c r="J1018" s="7"/>
    </row>
    <row r="1019">
      <c r="A1019" s="7"/>
      <c r="B1019" s="7"/>
      <c r="C1019" s="7"/>
      <c r="D1019" s="7"/>
      <c r="E1019" s="7"/>
      <c r="F1019" s="7"/>
      <c r="G1019" s="7"/>
      <c r="H1019" s="15">
        <f>IFERROR(__xludf.DUMMYFUNCTION("""COMPUTED_VALUE"""),44215.66666666667)</f>
        <v>44215.66667</v>
      </c>
      <c r="I1019" s="16">
        <f>IFERROR(__xludf.DUMMYFUNCTION("""COMPUTED_VALUE"""),844.55)</f>
        <v>844.55</v>
      </c>
      <c r="J1019" s="7"/>
    </row>
    <row r="1020">
      <c r="A1020" s="7"/>
      <c r="B1020" s="7"/>
      <c r="C1020" s="7"/>
      <c r="D1020" s="7"/>
      <c r="E1020" s="7"/>
      <c r="F1020" s="7"/>
      <c r="G1020" s="7"/>
      <c r="H1020" s="15">
        <f>IFERROR(__xludf.DUMMYFUNCTION("""COMPUTED_VALUE"""),44216.66666666667)</f>
        <v>44216.66667</v>
      </c>
      <c r="I1020" s="16">
        <f>IFERROR(__xludf.DUMMYFUNCTION("""COMPUTED_VALUE"""),850.45)</f>
        <v>850.45</v>
      </c>
      <c r="J1020" s="7"/>
    </row>
    <row r="1021">
      <c r="A1021" s="7"/>
      <c r="B1021" s="7"/>
      <c r="C1021" s="7"/>
      <c r="D1021" s="7"/>
      <c r="E1021" s="7"/>
      <c r="F1021" s="7"/>
      <c r="G1021" s="7"/>
      <c r="H1021" s="15">
        <f>IFERROR(__xludf.DUMMYFUNCTION("""COMPUTED_VALUE"""),44217.66666666667)</f>
        <v>44217.66667</v>
      </c>
      <c r="I1021" s="16">
        <f>IFERROR(__xludf.DUMMYFUNCTION("""COMPUTED_VALUE"""),844.99)</f>
        <v>844.99</v>
      </c>
      <c r="J1021" s="7"/>
    </row>
    <row r="1022">
      <c r="A1022" s="7"/>
      <c r="B1022" s="7"/>
      <c r="C1022" s="7"/>
      <c r="D1022" s="7"/>
      <c r="E1022" s="7"/>
      <c r="F1022" s="7"/>
      <c r="G1022" s="7"/>
      <c r="H1022" s="15">
        <f>IFERROR(__xludf.DUMMYFUNCTION("""COMPUTED_VALUE"""),44218.66666666667)</f>
        <v>44218.66667</v>
      </c>
      <c r="I1022" s="16">
        <f>IFERROR(__xludf.DUMMYFUNCTION("""COMPUTED_VALUE"""),846.64)</f>
        <v>846.64</v>
      </c>
      <c r="J1022" s="7"/>
    </row>
    <row r="1023">
      <c r="A1023" s="7"/>
      <c r="B1023" s="7"/>
      <c r="C1023" s="7"/>
      <c r="D1023" s="7"/>
      <c r="E1023" s="7"/>
      <c r="F1023" s="7"/>
      <c r="G1023" s="7"/>
      <c r="H1023" s="15">
        <f>IFERROR(__xludf.DUMMYFUNCTION("""COMPUTED_VALUE"""),44221.66666666667)</f>
        <v>44221.66667</v>
      </c>
      <c r="I1023" s="16">
        <f>IFERROR(__xludf.DUMMYFUNCTION("""COMPUTED_VALUE"""),880.8)</f>
        <v>880.8</v>
      </c>
      <c r="J1023" s="7"/>
    </row>
    <row r="1024">
      <c r="A1024" s="7"/>
      <c r="B1024" s="7"/>
      <c r="C1024" s="7"/>
      <c r="D1024" s="7"/>
      <c r="E1024" s="7"/>
      <c r="F1024" s="7"/>
      <c r="G1024" s="7"/>
      <c r="H1024" s="15">
        <f>IFERROR(__xludf.DUMMYFUNCTION("""COMPUTED_VALUE"""),44222.66666666667)</f>
        <v>44222.66667</v>
      </c>
      <c r="I1024" s="16">
        <f>IFERROR(__xludf.DUMMYFUNCTION("""COMPUTED_VALUE"""),883.09)</f>
        <v>883.09</v>
      </c>
      <c r="J1024" s="7"/>
    </row>
    <row r="1025">
      <c r="A1025" s="7"/>
      <c r="B1025" s="7"/>
      <c r="C1025" s="7"/>
      <c r="D1025" s="7"/>
      <c r="E1025" s="7"/>
      <c r="F1025" s="7"/>
      <c r="G1025" s="7"/>
      <c r="H1025" s="15">
        <f>IFERROR(__xludf.DUMMYFUNCTION("""COMPUTED_VALUE"""),44223.66666666667)</f>
        <v>44223.66667</v>
      </c>
      <c r="I1025" s="16">
        <f>IFERROR(__xludf.DUMMYFUNCTION("""COMPUTED_VALUE"""),864.16)</f>
        <v>864.16</v>
      </c>
      <c r="J1025" s="7"/>
    </row>
    <row r="1026">
      <c r="A1026" s="7"/>
      <c r="B1026" s="7"/>
      <c r="C1026" s="7"/>
      <c r="D1026" s="7"/>
      <c r="E1026" s="7"/>
      <c r="F1026" s="7"/>
      <c r="G1026" s="7"/>
      <c r="H1026" s="15">
        <f>IFERROR(__xludf.DUMMYFUNCTION("""COMPUTED_VALUE"""),44224.66666666667)</f>
        <v>44224.66667</v>
      </c>
      <c r="I1026" s="16">
        <f>IFERROR(__xludf.DUMMYFUNCTION("""COMPUTED_VALUE"""),835.43)</f>
        <v>835.43</v>
      </c>
      <c r="J1026" s="7"/>
    </row>
    <row r="1027">
      <c r="A1027" s="7"/>
      <c r="B1027" s="7"/>
      <c r="C1027" s="7"/>
      <c r="D1027" s="7"/>
      <c r="E1027" s="7"/>
      <c r="F1027" s="7"/>
      <c r="G1027" s="7"/>
      <c r="H1027" s="15">
        <f>IFERROR(__xludf.DUMMYFUNCTION("""COMPUTED_VALUE"""),44225.66666666667)</f>
        <v>44225.66667</v>
      </c>
      <c r="I1027" s="16">
        <f>IFERROR(__xludf.DUMMYFUNCTION("""COMPUTED_VALUE"""),793.53)</f>
        <v>793.53</v>
      </c>
      <c r="J1027" s="7"/>
    </row>
    <row r="1028">
      <c r="A1028" s="7"/>
      <c r="B1028" s="7"/>
      <c r="C1028" s="7"/>
      <c r="D1028" s="7"/>
      <c r="E1028" s="7"/>
      <c r="F1028" s="7"/>
      <c r="G1028" s="7"/>
      <c r="H1028" s="15">
        <f>IFERROR(__xludf.DUMMYFUNCTION("""COMPUTED_VALUE"""),44228.66666666667)</f>
        <v>44228.66667</v>
      </c>
      <c r="I1028" s="16">
        <f>IFERROR(__xludf.DUMMYFUNCTION("""COMPUTED_VALUE"""),839.81)</f>
        <v>839.81</v>
      </c>
      <c r="J1028" s="7"/>
    </row>
    <row r="1029">
      <c r="A1029" s="7"/>
      <c r="B1029" s="7"/>
      <c r="C1029" s="7"/>
      <c r="D1029" s="7"/>
      <c r="E1029" s="7"/>
      <c r="F1029" s="7"/>
      <c r="G1029" s="7"/>
      <c r="H1029" s="15">
        <f>IFERROR(__xludf.DUMMYFUNCTION("""COMPUTED_VALUE"""),44229.66666666667)</f>
        <v>44229.66667</v>
      </c>
      <c r="I1029" s="16">
        <f>IFERROR(__xludf.DUMMYFUNCTION("""COMPUTED_VALUE"""),872.79)</f>
        <v>872.79</v>
      </c>
      <c r="J1029" s="7"/>
    </row>
    <row r="1030">
      <c r="A1030" s="7"/>
      <c r="B1030" s="7"/>
      <c r="C1030" s="7"/>
      <c r="D1030" s="7"/>
      <c r="E1030" s="7"/>
      <c r="F1030" s="7"/>
      <c r="G1030" s="7"/>
      <c r="H1030" s="15">
        <f>IFERROR(__xludf.DUMMYFUNCTION("""COMPUTED_VALUE"""),44230.66666666667)</f>
        <v>44230.66667</v>
      </c>
      <c r="I1030" s="16">
        <f>IFERROR(__xludf.DUMMYFUNCTION("""COMPUTED_VALUE"""),854.69)</f>
        <v>854.69</v>
      </c>
      <c r="J1030" s="7"/>
    </row>
    <row r="1031">
      <c r="A1031" s="7"/>
      <c r="B1031" s="7"/>
      <c r="C1031" s="7"/>
      <c r="D1031" s="7"/>
      <c r="E1031" s="7"/>
      <c r="F1031" s="7"/>
      <c r="G1031" s="7"/>
      <c r="H1031" s="15">
        <f>IFERROR(__xludf.DUMMYFUNCTION("""COMPUTED_VALUE"""),44231.66666666667)</f>
        <v>44231.66667</v>
      </c>
      <c r="I1031" s="16">
        <f>IFERROR(__xludf.DUMMYFUNCTION("""COMPUTED_VALUE"""),849.99)</f>
        <v>849.99</v>
      </c>
      <c r="J1031" s="7"/>
    </row>
    <row r="1032">
      <c r="A1032" s="7"/>
      <c r="B1032" s="7"/>
      <c r="C1032" s="7"/>
      <c r="D1032" s="7"/>
      <c r="E1032" s="7"/>
      <c r="F1032" s="7"/>
      <c r="G1032" s="7"/>
      <c r="H1032" s="15">
        <f>IFERROR(__xludf.DUMMYFUNCTION("""COMPUTED_VALUE"""),44232.66666666667)</f>
        <v>44232.66667</v>
      </c>
      <c r="I1032" s="16">
        <f>IFERROR(__xludf.DUMMYFUNCTION("""COMPUTED_VALUE"""),852.23)</f>
        <v>852.23</v>
      </c>
      <c r="J1032" s="7"/>
    </row>
    <row r="1033">
      <c r="A1033" s="7"/>
      <c r="B1033" s="7"/>
      <c r="C1033" s="7"/>
      <c r="D1033" s="7"/>
      <c r="E1033" s="7"/>
      <c r="F1033" s="7"/>
      <c r="G1033" s="7"/>
      <c r="H1033" s="15">
        <f>IFERROR(__xludf.DUMMYFUNCTION("""COMPUTED_VALUE"""),44235.66666666667)</f>
        <v>44235.66667</v>
      </c>
      <c r="I1033" s="16">
        <f>IFERROR(__xludf.DUMMYFUNCTION("""COMPUTED_VALUE"""),863.42)</f>
        <v>863.42</v>
      </c>
      <c r="J1033" s="7"/>
    </row>
    <row r="1034">
      <c r="A1034" s="7"/>
      <c r="B1034" s="7"/>
      <c r="C1034" s="7"/>
      <c r="D1034" s="7"/>
      <c r="E1034" s="7"/>
      <c r="F1034" s="7"/>
      <c r="G1034" s="7"/>
      <c r="H1034" s="15">
        <f>IFERROR(__xludf.DUMMYFUNCTION("""COMPUTED_VALUE"""),44236.66666666667)</f>
        <v>44236.66667</v>
      </c>
      <c r="I1034" s="16">
        <f>IFERROR(__xludf.DUMMYFUNCTION("""COMPUTED_VALUE"""),849.46)</f>
        <v>849.46</v>
      </c>
      <c r="J1034" s="7"/>
    </row>
    <row r="1035">
      <c r="A1035" s="7"/>
      <c r="B1035" s="7"/>
      <c r="C1035" s="7"/>
      <c r="D1035" s="7"/>
      <c r="E1035" s="7"/>
      <c r="F1035" s="7"/>
      <c r="G1035" s="7"/>
      <c r="H1035" s="15">
        <f>IFERROR(__xludf.DUMMYFUNCTION("""COMPUTED_VALUE"""),44237.66666666667)</f>
        <v>44237.66667</v>
      </c>
      <c r="I1035" s="16">
        <f>IFERROR(__xludf.DUMMYFUNCTION("""COMPUTED_VALUE"""),804.82)</f>
        <v>804.82</v>
      </c>
      <c r="J1035" s="7"/>
    </row>
    <row r="1036">
      <c r="A1036" s="7"/>
      <c r="B1036" s="7"/>
      <c r="C1036" s="7"/>
      <c r="D1036" s="7"/>
      <c r="E1036" s="7"/>
      <c r="F1036" s="7"/>
      <c r="G1036" s="7"/>
      <c r="H1036" s="15">
        <f>IFERROR(__xludf.DUMMYFUNCTION("""COMPUTED_VALUE"""),44238.66666666667)</f>
        <v>44238.66667</v>
      </c>
      <c r="I1036" s="16">
        <f>IFERROR(__xludf.DUMMYFUNCTION("""COMPUTED_VALUE"""),811.66)</f>
        <v>811.66</v>
      </c>
      <c r="J1036" s="7"/>
    </row>
    <row r="1037">
      <c r="A1037" s="7"/>
      <c r="B1037" s="7"/>
      <c r="C1037" s="7"/>
      <c r="D1037" s="7"/>
      <c r="E1037" s="7"/>
      <c r="F1037" s="7"/>
      <c r="G1037" s="7"/>
      <c r="H1037" s="15">
        <f>IFERROR(__xludf.DUMMYFUNCTION("""COMPUTED_VALUE"""),44239.66666666667)</f>
        <v>44239.66667</v>
      </c>
      <c r="I1037" s="16">
        <f>IFERROR(__xludf.DUMMYFUNCTION("""COMPUTED_VALUE"""),816.12)</f>
        <v>816.12</v>
      </c>
      <c r="J1037" s="7"/>
    </row>
    <row r="1038">
      <c r="A1038" s="7"/>
      <c r="B1038" s="7"/>
      <c r="C1038" s="7"/>
      <c r="D1038" s="7"/>
      <c r="E1038" s="7"/>
      <c r="F1038" s="7"/>
      <c r="G1038" s="7"/>
      <c r="H1038" s="15">
        <f>IFERROR(__xludf.DUMMYFUNCTION("""COMPUTED_VALUE"""),44243.66666666667)</f>
        <v>44243.66667</v>
      </c>
      <c r="I1038" s="16">
        <f>IFERROR(__xludf.DUMMYFUNCTION("""COMPUTED_VALUE"""),796.22)</f>
        <v>796.22</v>
      </c>
      <c r="J1038" s="7"/>
    </row>
    <row r="1039">
      <c r="A1039" s="7"/>
      <c r="B1039" s="7"/>
      <c r="C1039" s="7"/>
      <c r="D1039" s="7"/>
      <c r="E1039" s="7"/>
      <c r="F1039" s="7"/>
      <c r="G1039" s="7"/>
      <c r="H1039" s="15">
        <f>IFERROR(__xludf.DUMMYFUNCTION("""COMPUTED_VALUE"""),44244.66666666667)</f>
        <v>44244.66667</v>
      </c>
      <c r="I1039" s="16">
        <f>IFERROR(__xludf.DUMMYFUNCTION("""COMPUTED_VALUE"""),798.15)</f>
        <v>798.15</v>
      </c>
      <c r="J1039" s="7"/>
    </row>
    <row r="1040">
      <c r="A1040" s="7"/>
      <c r="B1040" s="7"/>
      <c r="C1040" s="7"/>
      <c r="D1040" s="7"/>
      <c r="E1040" s="7"/>
      <c r="F1040" s="7"/>
      <c r="G1040" s="7"/>
      <c r="H1040" s="15">
        <f>IFERROR(__xludf.DUMMYFUNCTION("""COMPUTED_VALUE"""),44245.66666666667)</f>
        <v>44245.66667</v>
      </c>
      <c r="I1040" s="16">
        <f>IFERROR(__xludf.DUMMYFUNCTION("""COMPUTED_VALUE"""),787.38)</f>
        <v>787.38</v>
      </c>
      <c r="J1040" s="7"/>
    </row>
    <row r="1041">
      <c r="A1041" s="7"/>
      <c r="B1041" s="7"/>
      <c r="C1041" s="7"/>
      <c r="D1041" s="7"/>
      <c r="E1041" s="7"/>
      <c r="F1041" s="7"/>
      <c r="G1041" s="7"/>
      <c r="H1041" s="15">
        <f>IFERROR(__xludf.DUMMYFUNCTION("""COMPUTED_VALUE"""),44246.66666666667)</f>
        <v>44246.66667</v>
      </c>
      <c r="I1041" s="16">
        <f>IFERROR(__xludf.DUMMYFUNCTION("""COMPUTED_VALUE"""),781.3)</f>
        <v>781.3</v>
      </c>
      <c r="J1041" s="7"/>
    </row>
    <row r="1042">
      <c r="A1042" s="7"/>
      <c r="B1042" s="7"/>
      <c r="C1042" s="7"/>
      <c r="D1042" s="7"/>
      <c r="E1042" s="7"/>
      <c r="F1042" s="7"/>
      <c r="G1042" s="7"/>
      <c r="H1042" s="15">
        <f>IFERROR(__xludf.DUMMYFUNCTION("""COMPUTED_VALUE"""),44249.66666666667)</f>
        <v>44249.66667</v>
      </c>
      <c r="I1042" s="16">
        <f>IFERROR(__xludf.DUMMYFUNCTION("""COMPUTED_VALUE"""),714.5)</f>
        <v>714.5</v>
      </c>
      <c r="J1042" s="7"/>
    </row>
    <row r="1043">
      <c r="A1043" s="7"/>
      <c r="B1043" s="7"/>
      <c r="C1043" s="7"/>
      <c r="D1043" s="7"/>
      <c r="E1043" s="7"/>
      <c r="F1043" s="7"/>
      <c r="G1043" s="7"/>
      <c r="H1043" s="15">
        <f>IFERROR(__xludf.DUMMYFUNCTION("""COMPUTED_VALUE"""),44250.66666666667)</f>
        <v>44250.66667</v>
      </c>
      <c r="I1043" s="16">
        <f>IFERROR(__xludf.DUMMYFUNCTION("""COMPUTED_VALUE"""),698.84)</f>
        <v>698.84</v>
      </c>
      <c r="J1043" s="7"/>
    </row>
    <row r="1044">
      <c r="A1044" s="7"/>
      <c r="B1044" s="7"/>
      <c r="C1044" s="7"/>
      <c r="D1044" s="7"/>
      <c r="E1044" s="7"/>
      <c r="F1044" s="7"/>
      <c r="G1044" s="7"/>
      <c r="H1044" s="15">
        <f>IFERROR(__xludf.DUMMYFUNCTION("""COMPUTED_VALUE"""),44251.66666666667)</f>
        <v>44251.66667</v>
      </c>
      <c r="I1044" s="16">
        <f>IFERROR(__xludf.DUMMYFUNCTION("""COMPUTED_VALUE"""),742.02)</f>
        <v>742.02</v>
      </c>
      <c r="J1044" s="7"/>
    </row>
    <row r="1045">
      <c r="A1045" s="7"/>
      <c r="B1045" s="7"/>
      <c r="C1045" s="7"/>
      <c r="D1045" s="7"/>
      <c r="E1045" s="7"/>
      <c r="F1045" s="7"/>
      <c r="G1045" s="7"/>
      <c r="H1045" s="15">
        <f>IFERROR(__xludf.DUMMYFUNCTION("""COMPUTED_VALUE"""),44252.66666666667)</f>
        <v>44252.66667</v>
      </c>
      <c r="I1045" s="16">
        <f>IFERROR(__xludf.DUMMYFUNCTION("""COMPUTED_VALUE"""),682.22)</f>
        <v>682.22</v>
      </c>
      <c r="J1045" s="7"/>
    </row>
    <row r="1046">
      <c r="A1046" s="7"/>
      <c r="B1046" s="7"/>
      <c r="C1046" s="7"/>
      <c r="D1046" s="7"/>
      <c r="E1046" s="7"/>
      <c r="F1046" s="7"/>
      <c r="G1046" s="7"/>
      <c r="H1046" s="15">
        <f>IFERROR(__xludf.DUMMYFUNCTION("""COMPUTED_VALUE"""),44253.66666666667)</f>
        <v>44253.66667</v>
      </c>
      <c r="I1046" s="16">
        <f>IFERROR(__xludf.DUMMYFUNCTION("""COMPUTED_VALUE"""),675.5)</f>
        <v>675.5</v>
      </c>
      <c r="J1046" s="7"/>
    </row>
    <row r="1047">
      <c r="A1047" s="7"/>
      <c r="B1047" s="7"/>
      <c r="C1047" s="7"/>
      <c r="D1047" s="7"/>
      <c r="E1047" s="7"/>
      <c r="F1047" s="7"/>
      <c r="G1047" s="7"/>
      <c r="H1047" s="15">
        <f>IFERROR(__xludf.DUMMYFUNCTION("""COMPUTED_VALUE"""),44256.66666666667)</f>
        <v>44256.66667</v>
      </c>
      <c r="I1047" s="16">
        <f>IFERROR(__xludf.DUMMYFUNCTION("""COMPUTED_VALUE"""),718.43)</f>
        <v>718.43</v>
      </c>
      <c r="J1047" s="7"/>
    </row>
    <row r="1048">
      <c r="A1048" s="7"/>
      <c r="B1048" s="7"/>
      <c r="C1048" s="7"/>
      <c r="D1048" s="7"/>
      <c r="E1048" s="7"/>
      <c r="F1048" s="7"/>
      <c r="G1048" s="7"/>
      <c r="H1048" s="15">
        <f>IFERROR(__xludf.DUMMYFUNCTION("""COMPUTED_VALUE"""),44257.66666666667)</f>
        <v>44257.66667</v>
      </c>
      <c r="I1048" s="16">
        <f>IFERROR(__xludf.DUMMYFUNCTION("""COMPUTED_VALUE"""),686.44)</f>
        <v>686.44</v>
      </c>
      <c r="J1048" s="7"/>
    </row>
    <row r="1049">
      <c r="A1049" s="7"/>
      <c r="B1049" s="7"/>
      <c r="C1049" s="7"/>
      <c r="D1049" s="7"/>
      <c r="E1049" s="7"/>
      <c r="F1049" s="7"/>
      <c r="G1049" s="7"/>
      <c r="H1049" s="15">
        <f>IFERROR(__xludf.DUMMYFUNCTION("""COMPUTED_VALUE"""),44258.66666666667)</f>
        <v>44258.66667</v>
      </c>
      <c r="I1049" s="16">
        <f>IFERROR(__xludf.DUMMYFUNCTION("""COMPUTED_VALUE"""),653.2)</f>
        <v>653.2</v>
      </c>
      <c r="J1049" s="7"/>
    </row>
    <row r="1050">
      <c r="A1050" s="7"/>
      <c r="B1050" s="7"/>
      <c r="C1050" s="7"/>
      <c r="D1050" s="7"/>
      <c r="E1050" s="7"/>
      <c r="F1050" s="7"/>
      <c r="G1050" s="7"/>
      <c r="H1050" s="15">
        <f>IFERROR(__xludf.DUMMYFUNCTION("""COMPUTED_VALUE"""),44259.66666666667)</f>
        <v>44259.66667</v>
      </c>
      <c r="I1050" s="16">
        <f>IFERROR(__xludf.DUMMYFUNCTION("""COMPUTED_VALUE"""),621.44)</f>
        <v>621.44</v>
      </c>
      <c r="J1050" s="7"/>
    </row>
    <row r="1051">
      <c r="A1051" s="7"/>
      <c r="B1051" s="7"/>
      <c r="C1051" s="7"/>
      <c r="D1051" s="7"/>
      <c r="E1051" s="7"/>
      <c r="F1051" s="7"/>
      <c r="G1051" s="7"/>
      <c r="H1051" s="15">
        <f>IFERROR(__xludf.DUMMYFUNCTION("""COMPUTED_VALUE"""),44260.66666666667)</f>
        <v>44260.66667</v>
      </c>
      <c r="I1051" s="16">
        <f>IFERROR(__xludf.DUMMYFUNCTION("""COMPUTED_VALUE"""),597.95)</f>
        <v>597.95</v>
      </c>
      <c r="J1051" s="7"/>
    </row>
    <row r="1052">
      <c r="A1052" s="7"/>
      <c r="B1052" s="7"/>
      <c r="C1052" s="7"/>
      <c r="D1052" s="7"/>
      <c r="E1052" s="7"/>
      <c r="F1052" s="7"/>
      <c r="G1052" s="7"/>
      <c r="H1052" s="15">
        <f>IFERROR(__xludf.DUMMYFUNCTION("""COMPUTED_VALUE"""),44263.66666666667)</f>
        <v>44263.66667</v>
      </c>
      <c r="I1052" s="16">
        <f>IFERROR(__xludf.DUMMYFUNCTION("""COMPUTED_VALUE"""),563.0)</f>
        <v>563</v>
      </c>
      <c r="J1052" s="7"/>
    </row>
    <row r="1053">
      <c r="A1053" s="7"/>
      <c r="B1053" s="7"/>
      <c r="C1053" s="7"/>
      <c r="D1053" s="7"/>
      <c r="E1053" s="7"/>
      <c r="F1053" s="7"/>
      <c r="G1053" s="7"/>
      <c r="H1053" s="15">
        <f>IFERROR(__xludf.DUMMYFUNCTION("""COMPUTED_VALUE"""),44264.66666666667)</f>
        <v>44264.66667</v>
      </c>
      <c r="I1053" s="16">
        <f>IFERROR(__xludf.DUMMYFUNCTION("""COMPUTED_VALUE"""),673.58)</f>
        <v>673.58</v>
      </c>
      <c r="J1053" s="7"/>
    </row>
    <row r="1054">
      <c r="A1054" s="7"/>
      <c r="B1054" s="7"/>
      <c r="C1054" s="7"/>
      <c r="D1054" s="7"/>
      <c r="E1054" s="7"/>
      <c r="F1054" s="7"/>
      <c r="G1054" s="7"/>
      <c r="H1054" s="15">
        <f>IFERROR(__xludf.DUMMYFUNCTION("""COMPUTED_VALUE"""),44265.66666666667)</f>
        <v>44265.66667</v>
      </c>
      <c r="I1054" s="16">
        <f>IFERROR(__xludf.DUMMYFUNCTION("""COMPUTED_VALUE"""),668.06)</f>
        <v>668.06</v>
      </c>
      <c r="J1054" s="7"/>
    </row>
    <row r="1055">
      <c r="A1055" s="7"/>
      <c r="B1055" s="7"/>
      <c r="C1055" s="7"/>
      <c r="D1055" s="7"/>
      <c r="E1055" s="7"/>
      <c r="F1055" s="7"/>
      <c r="G1055" s="7"/>
      <c r="H1055" s="15">
        <f>IFERROR(__xludf.DUMMYFUNCTION("""COMPUTED_VALUE"""),44266.66666666667)</f>
        <v>44266.66667</v>
      </c>
      <c r="I1055" s="16">
        <f>IFERROR(__xludf.DUMMYFUNCTION("""COMPUTED_VALUE"""),699.6)</f>
        <v>699.6</v>
      </c>
      <c r="J1055" s="7"/>
    </row>
    <row r="1056">
      <c r="A1056" s="7"/>
      <c r="B1056" s="7"/>
      <c r="C1056" s="7"/>
      <c r="D1056" s="7"/>
      <c r="E1056" s="7"/>
      <c r="F1056" s="7"/>
      <c r="G1056" s="7"/>
      <c r="H1056" s="15">
        <f>IFERROR(__xludf.DUMMYFUNCTION("""COMPUTED_VALUE"""),44267.66666666667)</f>
        <v>44267.66667</v>
      </c>
      <c r="I1056" s="16">
        <f>IFERROR(__xludf.DUMMYFUNCTION("""COMPUTED_VALUE"""),693.73)</f>
        <v>693.73</v>
      </c>
      <c r="J1056" s="7"/>
    </row>
    <row r="1057">
      <c r="A1057" s="7"/>
      <c r="B1057" s="7"/>
      <c r="C1057" s="7"/>
      <c r="D1057" s="7"/>
      <c r="E1057" s="7"/>
      <c r="F1057" s="7"/>
      <c r="G1057" s="7"/>
      <c r="H1057" s="15">
        <f>IFERROR(__xludf.DUMMYFUNCTION("""COMPUTED_VALUE"""),44270.66666666667)</f>
        <v>44270.66667</v>
      </c>
      <c r="I1057" s="16">
        <f>IFERROR(__xludf.DUMMYFUNCTION("""COMPUTED_VALUE"""),707.94)</f>
        <v>707.94</v>
      </c>
      <c r="J1057" s="7"/>
    </row>
    <row r="1058">
      <c r="A1058" s="7"/>
      <c r="B1058" s="7"/>
      <c r="C1058" s="7"/>
      <c r="D1058" s="7"/>
      <c r="E1058" s="7"/>
      <c r="F1058" s="7"/>
      <c r="G1058" s="7"/>
      <c r="H1058" s="15">
        <f>IFERROR(__xludf.DUMMYFUNCTION("""COMPUTED_VALUE"""),44271.66666666667)</f>
        <v>44271.66667</v>
      </c>
      <c r="I1058" s="16">
        <f>IFERROR(__xludf.DUMMYFUNCTION("""COMPUTED_VALUE"""),676.88)</f>
        <v>676.88</v>
      </c>
      <c r="J1058" s="7"/>
    </row>
    <row r="1059">
      <c r="A1059" s="7"/>
      <c r="B1059" s="7"/>
      <c r="C1059" s="7"/>
      <c r="D1059" s="7"/>
      <c r="E1059" s="7"/>
      <c r="F1059" s="7"/>
      <c r="G1059" s="7"/>
      <c r="H1059" s="15">
        <f>IFERROR(__xludf.DUMMYFUNCTION("""COMPUTED_VALUE"""),44272.66666666667)</f>
        <v>44272.66667</v>
      </c>
      <c r="I1059" s="16">
        <f>IFERROR(__xludf.DUMMYFUNCTION("""COMPUTED_VALUE"""),701.81)</f>
        <v>701.81</v>
      </c>
      <c r="J1059" s="7"/>
    </row>
    <row r="1060">
      <c r="A1060" s="7"/>
      <c r="B1060" s="7"/>
      <c r="C1060" s="7"/>
      <c r="D1060" s="7"/>
      <c r="E1060" s="7"/>
      <c r="F1060" s="7"/>
      <c r="G1060" s="7"/>
      <c r="H1060" s="15">
        <f>IFERROR(__xludf.DUMMYFUNCTION("""COMPUTED_VALUE"""),44273.66666666667)</f>
        <v>44273.66667</v>
      </c>
      <c r="I1060" s="16">
        <f>IFERROR(__xludf.DUMMYFUNCTION("""COMPUTED_VALUE"""),653.16)</f>
        <v>653.16</v>
      </c>
      <c r="J1060" s="7"/>
    </row>
    <row r="1061">
      <c r="A1061" s="7"/>
      <c r="B1061" s="7"/>
      <c r="C1061" s="7"/>
      <c r="D1061" s="7"/>
      <c r="E1061" s="7"/>
      <c r="F1061" s="7"/>
      <c r="G1061" s="7"/>
      <c r="H1061" s="15">
        <f>IFERROR(__xludf.DUMMYFUNCTION("""COMPUTED_VALUE"""),44274.66666666667)</f>
        <v>44274.66667</v>
      </c>
      <c r="I1061" s="16">
        <f>IFERROR(__xludf.DUMMYFUNCTION("""COMPUTED_VALUE"""),654.87)</f>
        <v>654.87</v>
      </c>
      <c r="J1061" s="7"/>
    </row>
    <row r="1062">
      <c r="A1062" s="7"/>
      <c r="B1062" s="7"/>
      <c r="C1062" s="7"/>
      <c r="D1062" s="7"/>
      <c r="E1062" s="7"/>
      <c r="F1062" s="7"/>
      <c r="G1062" s="7"/>
      <c r="H1062" s="15">
        <f>IFERROR(__xludf.DUMMYFUNCTION("""COMPUTED_VALUE"""),44277.66666666667)</f>
        <v>44277.66667</v>
      </c>
      <c r="I1062" s="16">
        <f>IFERROR(__xludf.DUMMYFUNCTION("""COMPUTED_VALUE"""),670.0)</f>
        <v>670</v>
      </c>
      <c r="J1062" s="7"/>
    </row>
    <row r="1063">
      <c r="A1063" s="7"/>
      <c r="B1063" s="7"/>
      <c r="C1063" s="7"/>
      <c r="D1063" s="7"/>
      <c r="E1063" s="7"/>
      <c r="F1063" s="7"/>
      <c r="G1063" s="7"/>
      <c r="H1063" s="15">
        <f>IFERROR(__xludf.DUMMYFUNCTION("""COMPUTED_VALUE"""),44278.66666666667)</f>
        <v>44278.66667</v>
      </c>
      <c r="I1063" s="16">
        <f>IFERROR(__xludf.DUMMYFUNCTION("""COMPUTED_VALUE"""),662.16)</f>
        <v>662.16</v>
      </c>
      <c r="J1063" s="7"/>
    </row>
    <row r="1064">
      <c r="A1064" s="7"/>
      <c r="B1064" s="7"/>
      <c r="C1064" s="7"/>
      <c r="D1064" s="7"/>
      <c r="E1064" s="7"/>
      <c r="F1064" s="7"/>
      <c r="G1064" s="7"/>
      <c r="H1064" s="15">
        <f>IFERROR(__xludf.DUMMYFUNCTION("""COMPUTED_VALUE"""),44279.66666666667)</f>
        <v>44279.66667</v>
      </c>
      <c r="I1064" s="16">
        <f>IFERROR(__xludf.DUMMYFUNCTION("""COMPUTED_VALUE"""),630.27)</f>
        <v>630.27</v>
      </c>
      <c r="J1064" s="7"/>
    </row>
    <row r="1065">
      <c r="A1065" s="7"/>
      <c r="B1065" s="7"/>
      <c r="C1065" s="7"/>
      <c r="D1065" s="7"/>
      <c r="E1065" s="7"/>
      <c r="F1065" s="7"/>
      <c r="G1065" s="7"/>
      <c r="H1065" s="15">
        <f>IFERROR(__xludf.DUMMYFUNCTION("""COMPUTED_VALUE"""),44280.66666666667)</f>
        <v>44280.66667</v>
      </c>
      <c r="I1065" s="16">
        <f>IFERROR(__xludf.DUMMYFUNCTION("""COMPUTED_VALUE"""),640.39)</f>
        <v>640.39</v>
      </c>
      <c r="J1065" s="7"/>
    </row>
    <row r="1066">
      <c r="A1066" s="7"/>
      <c r="B1066" s="7"/>
      <c r="C1066" s="7"/>
      <c r="D1066" s="7"/>
      <c r="E1066" s="7"/>
      <c r="F1066" s="7"/>
      <c r="G1066" s="7"/>
      <c r="H1066" s="15">
        <f>IFERROR(__xludf.DUMMYFUNCTION("""COMPUTED_VALUE"""),44281.66666666667)</f>
        <v>44281.66667</v>
      </c>
      <c r="I1066" s="16">
        <f>IFERROR(__xludf.DUMMYFUNCTION("""COMPUTED_VALUE"""),618.71)</f>
        <v>618.71</v>
      </c>
      <c r="J1066" s="7"/>
    </row>
    <row r="1067">
      <c r="A1067" s="7"/>
      <c r="B1067" s="7"/>
      <c r="C1067" s="7"/>
      <c r="D1067" s="7"/>
      <c r="E1067" s="7"/>
      <c r="F1067" s="7"/>
      <c r="G1067" s="7"/>
      <c r="H1067" s="15">
        <f>IFERROR(__xludf.DUMMYFUNCTION("""COMPUTED_VALUE"""),44284.66666666667)</f>
        <v>44284.66667</v>
      </c>
      <c r="I1067" s="16">
        <f>IFERROR(__xludf.DUMMYFUNCTION("""COMPUTED_VALUE"""),611.29)</f>
        <v>611.29</v>
      </c>
      <c r="J1067" s="7"/>
    </row>
    <row r="1068">
      <c r="A1068" s="7"/>
      <c r="B1068" s="7"/>
      <c r="C1068" s="7"/>
      <c r="D1068" s="7"/>
      <c r="E1068" s="7"/>
      <c r="F1068" s="7"/>
      <c r="G1068" s="7"/>
      <c r="H1068" s="15">
        <f>IFERROR(__xludf.DUMMYFUNCTION("""COMPUTED_VALUE"""),44285.66666666667)</f>
        <v>44285.66667</v>
      </c>
      <c r="I1068" s="16">
        <f>IFERROR(__xludf.DUMMYFUNCTION("""COMPUTED_VALUE"""),635.62)</f>
        <v>635.62</v>
      </c>
      <c r="J1068" s="7"/>
    </row>
    <row r="1069">
      <c r="A1069" s="7"/>
      <c r="B1069" s="7"/>
      <c r="C1069" s="7"/>
      <c r="D1069" s="7"/>
      <c r="E1069" s="7"/>
      <c r="F1069" s="7"/>
      <c r="G1069" s="7"/>
      <c r="H1069" s="15">
        <f>IFERROR(__xludf.DUMMYFUNCTION("""COMPUTED_VALUE"""),44286.66666666667)</f>
        <v>44286.66667</v>
      </c>
      <c r="I1069" s="16">
        <f>IFERROR(__xludf.DUMMYFUNCTION("""COMPUTED_VALUE"""),667.93)</f>
        <v>667.93</v>
      </c>
      <c r="J1069" s="7"/>
    </row>
    <row r="1070">
      <c r="A1070" s="7"/>
      <c r="B1070" s="7"/>
      <c r="C1070" s="7"/>
      <c r="D1070" s="7"/>
      <c r="E1070" s="7"/>
      <c r="F1070" s="7"/>
      <c r="G1070" s="7"/>
      <c r="H1070" s="15">
        <f>IFERROR(__xludf.DUMMYFUNCTION("""COMPUTED_VALUE"""),44287.66666666667)</f>
        <v>44287.66667</v>
      </c>
      <c r="I1070" s="16">
        <f>IFERROR(__xludf.DUMMYFUNCTION("""COMPUTED_VALUE"""),661.75)</f>
        <v>661.75</v>
      </c>
      <c r="J1070" s="7"/>
    </row>
    <row r="1071">
      <c r="A1071" s="7"/>
      <c r="B1071" s="7"/>
      <c r="C1071" s="7"/>
      <c r="D1071" s="7"/>
      <c r="E1071" s="7"/>
      <c r="F1071" s="7"/>
      <c r="G1071" s="7"/>
      <c r="H1071" s="15">
        <f>IFERROR(__xludf.DUMMYFUNCTION("""COMPUTED_VALUE"""),44291.66666666667)</f>
        <v>44291.66667</v>
      </c>
      <c r="I1071" s="16">
        <f>IFERROR(__xludf.DUMMYFUNCTION("""COMPUTED_VALUE"""),691.05)</f>
        <v>691.05</v>
      </c>
      <c r="J1071" s="7"/>
    </row>
    <row r="1072">
      <c r="A1072" s="7"/>
      <c r="B1072" s="7"/>
      <c r="C1072" s="7"/>
      <c r="D1072" s="7"/>
      <c r="E1072" s="7"/>
      <c r="F1072" s="7"/>
      <c r="G1072" s="7"/>
      <c r="H1072" s="15">
        <f>IFERROR(__xludf.DUMMYFUNCTION("""COMPUTED_VALUE"""),44292.66666666667)</f>
        <v>44292.66667</v>
      </c>
      <c r="I1072" s="16">
        <f>IFERROR(__xludf.DUMMYFUNCTION("""COMPUTED_VALUE"""),691.62)</f>
        <v>691.62</v>
      </c>
      <c r="J1072" s="7"/>
    </row>
    <row r="1073">
      <c r="A1073" s="7"/>
      <c r="B1073" s="7"/>
      <c r="C1073" s="7"/>
      <c r="D1073" s="7"/>
      <c r="E1073" s="7"/>
      <c r="F1073" s="7"/>
      <c r="G1073" s="7"/>
      <c r="H1073" s="15">
        <f>IFERROR(__xludf.DUMMYFUNCTION("""COMPUTED_VALUE"""),44293.66666666667)</f>
        <v>44293.66667</v>
      </c>
      <c r="I1073" s="16">
        <f>IFERROR(__xludf.DUMMYFUNCTION("""COMPUTED_VALUE"""),670.97)</f>
        <v>670.97</v>
      </c>
      <c r="J1073" s="7"/>
    </row>
    <row r="1074">
      <c r="A1074" s="7"/>
      <c r="B1074" s="7"/>
      <c r="C1074" s="7"/>
      <c r="D1074" s="7"/>
      <c r="E1074" s="7"/>
      <c r="F1074" s="7"/>
      <c r="G1074" s="7"/>
      <c r="H1074" s="15">
        <f>IFERROR(__xludf.DUMMYFUNCTION("""COMPUTED_VALUE"""),44294.66666666667)</f>
        <v>44294.66667</v>
      </c>
      <c r="I1074" s="16">
        <f>IFERROR(__xludf.DUMMYFUNCTION("""COMPUTED_VALUE"""),683.8)</f>
        <v>683.8</v>
      </c>
      <c r="J1074" s="7"/>
    </row>
    <row r="1075">
      <c r="A1075" s="7"/>
      <c r="B1075" s="7"/>
      <c r="C1075" s="7"/>
      <c r="D1075" s="7"/>
      <c r="E1075" s="7"/>
      <c r="F1075" s="7"/>
      <c r="G1075" s="7"/>
      <c r="H1075" s="15">
        <f>IFERROR(__xludf.DUMMYFUNCTION("""COMPUTED_VALUE"""),44295.66666666667)</f>
        <v>44295.66667</v>
      </c>
      <c r="I1075" s="16">
        <f>IFERROR(__xludf.DUMMYFUNCTION("""COMPUTED_VALUE"""),677.02)</f>
        <v>677.02</v>
      </c>
      <c r="J1075" s="7"/>
    </row>
    <row r="1076">
      <c r="A1076" s="7"/>
      <c r="B1076" s="7"/>
      <c r="C1076" s="7"/>
      <c r="D1076" s="7"/>
      <c r="E1076" s="7"/>
      <c r="F1076" s="7"/>
      <c r="G1076" s="7"/>
      <c r="H1076" s="15">
        <f>IFERROR(__xludf.DUMMYFUNCTION("""COMPUTED_VALUE"""),44298.66666666667)</f>
        <v>44298.66667</v>
      </c>
      <c r="I1076" s="16">
        <f>IFERROR(__xludf.DUMMYFUNCTION("""COMPUTED_VALUE"""),701.98)</f>
        <v>701.98</v>
      </c>
      <c r="J1076" s="7"/>
    </row>
    <row r="1077">
      <c r="A1077" s="7"/>
      <c r="B1077" s="7"/>
      <c r="C1077" s="7"/>
      <c r="D1077" s="7"/>
      <c r="E1077" s="7"/>
      <c r="F1077" s="7"/>
      <c r="G1077" s="7"/>
      <c r="H1077" s="15">
        <f>IFERROR(__xludf.DUMMYFUNCTION("""COMPUTED_VALUE"""),44299.66666666667)</f>
        <v>44299.66667</v>
      </c>
      <c r="I1077" s="16">
        <f>IFERROR(__xludf.DUMMYFUNCTION("""COMPUTED_VALUE"""),762.32)</f>
        <v>762.32</v>
      </c>
      <c r="J1077" s="7"/>
    </row>
    <row r="1078">
      <c r="A1078" s="7"/>
      <c r="B1078" s="7"/>
      <c r="C1078" s="7"/>
      <c r="D1078" s="7"/>
      <c r="E1078" s="7"/>
      <c r="F1078" s="7"/>
      <c r="G1078" s="7"/>
      <c r="H1078" s="15">
        <f>IFERROR(__xludf.DUMMYFUNCTION("""COMPUTED_VALUE"""),44300.66666666667)</f>
        <v>44300.66667</v>
      </c>
      <c r="I1078" s="16">
        <f>IFERROR(__xludf.DUMMYFUNCTION("""COMPUTED_VALUE"""),732.23)</f>
        <v>732.23</v>
      </c>
      <c r="J1078" s="7"/>
    </row>
    <row r="1079">
      <c r="A1079" s="7"/>
      <c r="B1079" s="7"/>
      <c r="C1079" s="7"/>
      <c r="D1079" s="7"/>
      <c r="E1079" s="7"/>
      <c r="F1079" s="7"/>
      <c r="G1079" s="7"/>
      <c r="H1079" s="15">
        <f>IFERROR(__xludf.DUMMYFUNCTION("""COMPUTED_VALUE"""),44301.66666666667)</f>
        <v>44301.66667</v>
      </c>
      <c r="I1079" s="16">
        <f>IFERROR(__xludf.DUMMYFUNCTION("""COMPUTED_VALUE"""),738.85)</f>
        <v>738.85</v>
      </c>
      <c r="J1079" s="7"/>
    </row>
    <row r="1080">
      <c r="A1080" s="7"/>
      <c r="B1080" s="7"/>
      <c r="C1080" s="7"/>
      <c r="D1080" s="7"/>
      <c r="E1080" s="7"/>
      <c r="F1080" s="7"/>
      <c r="G1080" s="7"/>
      <c r="H1080" s="15">
        <f>IFERROR(__xludf.DUMMYFUNCTION("""COMPUTED_VALUE"""),44302.66666666667)</f>
        <v>44302.66667</v>
      </c>
      <c r="I1080" s="16">
        <f>IFERROR(__xludf.DUMMYFUNCTION("""COMPUTED_VALUE"""),739.78)</f>
        <v>739.78</v>
      </c>
      <c r="J1080" s="7"/>
    </row>
    <row r="1081">
      <c r="A1081" s="7"/>
      <c r="B1081" s="7"/>
      <c r="C1081" s="7"/>
      <c r="D1081" s="7"/>
      <c r="E1081" s="7"/>
      <c r="F1081" s="7"/>
      <c r="G1081" s="7"/>
      <c r="H1081" s="15">
        <f>IFERROR(__xludf.DUMMYFUNCTION("""COMPUTED_VALUE"""),44305.66666666667)</f>
        <v>44305.66667</v>
      </c>
      <c r="I1081" s="16">
        <f>IFERROR(__xludf.DUMMYFUNCTION("""COMPUTED_VALUE"""),714.63)</f>
        <v>714.63</v>
      </c>
      <c r="J1081" s="7"/>
    </row>
    <row r="1082">
      <c r="A1082" s="7"/>
      <c r="B1082" s="7"/>
      <c r="C1082" s="7"/>
      <c r="D1082" s="7"/>
      <c r="E1082" s="7"/>
      <c r="F1082" s="7"/>
      <c r="G1082" s="7"/>
      <c r="H1082" s="15">
        <f>IFERROR(__xludf.DUMMYFUNCTION("""COMPUTED_VALUE"""),44306.66666666667)</f>
        <v>44306.66667</v>
      </c>
      <c r="I1082" s="16">
        <f>IFERROR(__xludf.DUMMYFUNCTION("""COMPUTED_VALUE"""),718.99)</f>
        <v>718.99</v>
      </c>
      <c r="J1082" s="7"/>
    </row>
    <row r="1083">
      <c r="A1083" s="7"/>
      <c r="B1083" s="7"/>
      <c r="C1083" s="7"/>
      <c r="D1083" s="7"/>
      <c r="E1083" s="7"/>
      <c r="F1083" s="7"/>
      <c r="G1083" s="7"/>
      <c r="H1083" s="15">
        <f>IFERROR(__xludf.DUMMYFUNCTION("""COMPUTED_VALUE"""),44307.66666666667)</f>
        <v>44307.66667</v>
      </c>
      <c r="I1083" s="16">
        <f>IFERROR(__xludf.DUMMYFUNCTION("""COMPUTED_VALUE"""),744.12)</f>
        <v>744.12</v>
      </c>
      <c r="J1083" s="7"/>
    </row>
    <row r="1084">
      <c r="A1084" s="7"/>
      <c r="B1084" s="7"/>
      <c r="C1084" s="7"/>
      <c r="D1084" s="7"/>
      <c r="E1084" s="7"/>
      <c r="F1084" s="7"/>
      <c r="G1084" s="7"/>
      <c r="H1084" s="15">
        <f>IFERROR(__xludf.DUMMYFUNCTION("""COMPUTED_VALUE"""),44308.66666666667)</f>
        <v>44308.66667</v>
      </c>
      <c r="I1084" s="16">
        <f>IFERROR(__xludf.DUMMYFUNCTION("""COMPUTED_VALUE"""),719.69)</f>
        <v>719.69</v>
      </c>
      <c r="J1084" s="7"/>
    </row>
    <row r="1085">
      <c r="A1085" s="7"/>
      <c r="B1085" s="7"/>
      <c r="C1085" s="7"/>
      <c r="D1085" s="7"/>
      <c r="E1085" s="7"/>
      <c r="F1085" s="7"/>
      <c r="G1085" s="7"/>
      <c r="H1085" s="15">
        <f>IFERROR(__xludf.DUMMYFUNCTION("""COMPUTED_VALUE"""),44309.66666666667)</f>
        <v>44309.66667</v>
      </c>
      <c r="I1085" s="16">
        <f>IFERROR(__xludf.DUMMYFUNCTION("""COMPUTED_VALUE"""),729.4)</f>
        <v>729.4</v>
      </c>
      <c r="J1085" s="7"/>
    </row>
    <row r="1086">
      <c r="A1086" s="7"/>
      <c r="B1086" s="7"/>
      <c r="C1086" s="7"/>
      <c r="D1086" s="7"/>
      <c r="E1086" s="7"/>
      <c r="F1086" s="7"/>
      <c r="G1086" s="7"/>
      <c r="H1086" s="15">
        <f>IFERROR(__xludf.DUMMYFUNCTION("""COMPUTED_VALUE"""),44312.66666666667)</f>
        <v>44312.66667</v>
      </c>
      <c r="I1086" s="16">
        <f>IFERROR(__xludf.DUMMYFUNCTION("""COMPUTED_VALUE"""),738.2)</f>
        <v>738.2</v>
      </c>
      <c r="J1086" s="7"/>
    </row>
    <row r="1087">
      <c r="A1087" s="7"/>
      <c r="B1087" s="7"/>
      <c r="C1087" s="7"/>
      <c r="D1087" s="7"/>
      <c r="E1087" s="7"/>
      <c r="F1087" s="7"/>
      <c r="G1087" s="7"/>
      <c r="H1087" s="15">
        <f>IFERROR(__xludf.DUMMYFUNCTION("""COMPUTED_VALUE"""),44313.66666666667)</f>
        <v>44313.66667</v>
      </c>
      <c r="I1087" s="16">
        <f>IFERROR(__xludf.DUMMYFUNCTION("""COMPUTED_VALUE"""),704.74)</f>
        <v>704.74</v>
      </c>
      <c r="J1087" s="7"/>
    </row>
    <row r="1088">
      <c r="A1088" s="7"/>
      <c r="B1088" s="7"/>
      <c r="C1088" s="7"/>
      <c r="D1088" s="7"/>
      <c r="E1088" s="7"/>
      <c r="F1088" s="7"/>
      <c r="G1088" s="7"/>
      <c r="H1088" s="15">
        <f>IFERROR(__xludf.DUMMYFUNCTION("""COMPUTED_VALUE"""),44314.66666666667)</f>
        <v>44314.66667</v>
      </c>
      <c r="I1088" s="16">
        <f>IFERROR(__xludf.DUMMYFUNCTION("""COMPUTED_VALUE"""),694.4)</f>
        <v>694.4</v>
      </c>
      <c r="J1088" s="7"/>
    </row>
    <row r="1089">
      <c r="A1089" s="7"/>
      <c r="B1089" s="7"/>
      <c r="C1089" s="7"/>
      <c r="D1089" s="7"/>
      <c r="E1089" s="7"/>
      <c r="F1089" s="7"/>
      <c r="G1089" s="7"/>
      <c r="H1089" s="15">
        <f>IFERROR(__xludf.DUMMYFUNCTION("""COMPUTED_VALUE"""),44315.66666666667)</f>
        <v>44315.66667</v>
      </c>
      <c r="I1089" s="16">
        <f>IFERROR(__xludf.DUMMYFUNCTION("""COMPUTED_VALUE"""),677.0)</f>
        <v>677</v>
      </c>
      <c r="J1089" s="7"/>
    </row>
    <row r="1090">
      <c r="A1090" s="7"/>
      <c r="B1090" s="7"/>
      <c r="C1090" s="7"/>
      <c r="D1090" s="7"/>
      <c r="E1090" s="7"/>
      <c r="F1090" s="7"/>
      <c r="G1090" s="7"/>
      <c r="H1090" s="15">
        <f>IFERROR(__xludf.DUMMYFUNCTION("""COMPUTED_VALUE"""),44316.66666666667)</f>
        <v>44316.66667</v>
      </c>
      <c r="I1090" s="16">
        <f>IFERROR(__xludf.DUMMYFUNCTION("""COMPUTED_VALUE"""),709.44)</f>
        <v>709.44</v>
      </c>
      <c r="J1090" s="7"/>
    </row>
    <row r="1091">
      <c r="A1091" s="7"/>
      <c r="B1091" s="7"/>
      <c r="C1091" s="7"/>
      <c r="D1091" s="7"/>
      <c r="E1091" s="7"/>
      <c r="F1091" s="7"/>
      <c r="G1091" s="7"/>
      <c r="H1091" s="15">
        <f>IFERROR(__xludf.DUMMYFUNCTION("""COMPUTED_VALUE"""),44319.66666666667)</f>
        <v>44319.66667</v>
      </c>
      <c r="I1091" s="16">
        <f>IFERROR(__xludf.DUMMYFUNCTION("""COMPUTED_VALUE"""),684.9)</f>
        <v>684.9</v>
      </c>
      <c r="J1091" s="7"/>
    </row>
    <row r="1092">
      <c r="A1092" s="7"/>
      <c r="B1092" s="7"/>
      <c r="C1092" s="7"/>
      <c r="D1092" s="7"/>
      <c r="E1092" s="7"/>
      <c r="F1092" s="7"/>
      <c r="G1092" s="7"/>
      <c r="H1092" s="15">
        <f>IFERROR(__xludf.DUMMYFUNCTION("""COMPUTED_VALUE"""),44320.66666666667)</f>
        <v>44320.66667</v>
      </c>
      <c r="I1092" s="16">
        <f>IFERROR(__xludf.DUMMYFUNCTION("""COMPUTED_VALUE"""),673.6)</f>
        <v>673.6</v>
      </c>
      <c r="J1092" s="7"/>
    </row>
    <row r="1093">
      <c r="A1093" s="7"/>
      <c r="B1093" s="7"/>
      <c r="C1093" s="7"/>
      <c r="D1093" s="7"/>
      <c r="E1093" s="7"/>
      <c r="F1093" s="7"/>
      <c r="G1093" s="7"/>
      <c r="H1093" s="15">
        <f>IFERROR(__xludf.DUMMYFUNCTION("""COMPUTED_VALUE"""),44321.66666666667)</f>
        <v>44321.66667</v>
      </c>
      <c r="I1093" s="16">
        <f>IFERROR(__xludf.DUMMYFUNCTION("""COMPUTED_VALUE"""),670.94)</f>
        <v>670.94</v>
      </c>
      <c r="J1093" s="7"/>
    </row>
    <row r="1094">
      <c r="A1094" s="7"/>
      <c r="B1094" s="7"/>
      <c r="C1094" s="7"/>
      <c r="D1094" s="7"/>
      <c r="E1094" s="7"/>
      <c r="F1094" s="7"/>
      <c r="G1094" s="7"/>
      <c r="H1094" s="15">
        <f>IFERROR(__xludf.DUMMYFUNCTION("""COMPUTED_VALUE"""),44322.66666666667)</f>
        <v>44322.66667</v>
      </c>
      <c r="I1094" s="16">
        <f>IFERROR(__xludf.DUMMYFUNCTION("""COMPUTED_VALUE"""),663.54)</f>
        <v>663.54</v>
      </c>
      <c r="J1094" s="7"/>
    </row>
    <row r="1095">
      <c r="A1095" s="7"/>
      <c r="B1095" s="7"/>
      <c r="C1095" s="7"/>
      <c r="D1095" s="7"/>
      <c r="E1095" s="7"/>
      <c r="F1095" s="7"/>
      <c r="G1095" s="7"/>
      <c r="H1095" s="15">
        <f>IFERROR(__xludf.DUMMYFUNCTION("""COMPUTED_VALUE"""),44323.66666666667)</f>
        <v>44323.66667</v>
      </c>
      <c r="I1095" s="16">
        <f>IFERROR(__xludf.DUMMYFUNCTION("""COMPUTED_VALUE"""),672.37)</f>
        <v>672.37</v>
      </c>
      <c r="J1095" s="7"/>
    </row>
    <row r="1096">
      <c r="A1096" s="7"/>
      <c r="B1096" s="7"/>
      <c r="C1096" s="7"/>
      <c r="D1096" s="7"/>
      <c r="E1096" s="7"/>
      <c r="F1096" s="7"/>
      <c r="G1096" s="7"/>
      <c r="H1096" s="15">
        <f>IFERROR(__xludf.DUMMYFUNCTION("""COMPUTED_VALUE"""),44326.66666666667)</f>
        <v>44326.66667</v>
      </c>
      <c r="I1096" s="16">
        <f>IFERROR(__xludf.DUMMYFUNCTION("""COMPUTED_VALUE"""),629.04)</f>
        <v>629.04</v>
      </c>
      <c r="J1096" s="7"/>
    </row>
    <row r="1097">
      <c r="A1097" s="7"/>
      <c r="B1097" s="7"/>
      <c r="C1097" s="7"/>
      <c r="D1097" s="7"/>
      <c r="E1097" s="7"/>
      <c r="F1097" s="7"/>
      <c r="G1097" s="7"/>
      <c r="H1097" s="15">
        <f>IFERROR(__xludf.DUMMYFUNCTION("""COMPUTED_VALUE"""),44327.66666666667)</f>
        <v>44327.66667</v>
      </c>
      <c r="I1097" s="16">
        <f>IFERROR(__xludf.DUMMYFUNCTION("""COMPUTED_VALUE"""),617.2)</f>
        <v>617.2</v>
      </c>
      <c r="J1097" s="7"/>
    </row>
    <row r="1098">
      <c r="A1098" s="7"/>
      <c r="B1098" s="7"/>
      <c r="C1098" s="7"/>
      <c r="D1098" s="7"/>
      <c r="E1098" s="7"/>
      <c r="F1098" s="7"/>
      <c r="G1098" s="7"/>
      <c r="H1098" s="15">
        <f>IFERROR(__xludf.DUMMYFUNCTION("""COMPUTED_VALUE"""),44328.66666666667)</f>
        <v>44328.66667</v>
      </c>
      <c r="I1098" s="16">
        <f>IFERROR(__xludf.DUMMYFUNCTION("""COMPUTED_VALUE"""),589.89)</f>
        <v>589.89</v>
      </c>
      <c r="J1098" s="7"/>
    </row>
    <row r="1099">
      <c r="A1099" s="7"/>
      <c r="B1099" s="7"/>
      <c r="C1099" s="7"/>
      <c r="D1099" s="7"/>
      <c r="E1099" s="7"/>
      <c r="F1099" s="7"/>
      <c r="G1099" s="7"/>
      <c r="H1099" s="15">
        <f>IFERROR(__xludf.DUMMYFUNCTION("""COMPUTED_VALUE"""),44329.66666666667)</f>
        <v>44329.66667</v>
      </c>
      <c r="I1099" s="16">
        <f>IFERROR(__xludf.DUMMYFUNCTION("""COMPUTED_VALUE"""),571.69)</f>
        <v>571.69</v>
      </c>
      <c r="J1099" s="7"/>
    </row>
    <row r="1100">
      <c r="A1100" s="7"/>
      <c r="B1100" s="7"/>
      <c r="C1100" s="7"/>
      <c r="D1100" s="7"/>
      <c r="E1100" s="7"/>
      <c r="F1100" s="7"/>
      <c r="G1100" s="7"/>
      <c r="H1100" s="15">
        <f>IFERROR(__xludf.DUMMYFUNCTION("""COMPUTED_VALUE"""),44330.66666666667)</f>
        <v>44330.66667</v>
      </c>
      <c r="I1100" s="16">
        <f>IFERROR(__xludf.DUMMYFUNCTION("""COMPUTED_VALUE"""),589.74)</f>
        <v>589.74</v>
      </c>
      <c r="J1100" s="7"/>
    </row>
    <row r="1101">
      <c r="A1101" s="7"/>
      <c r="B1101" s="7"/>
      <c r="C1101" s="7"/>
      <c r="D1101" s="7"/>
      <c r="E1101" s="7"/>
      <c r="F1101" s="7"/>
      <c r="G1101" s="7"/>
      <c r="H1101" s="15">
        <f>IFERROR(__xludf.DUMMYFUNCTION("""COMPUTED_VALUE"""),44333.66666666667)</f>
        <v>44333.66667</v>
      </c>
      <c r="I1101" s="16">
        <f>IFERROR(__xludf.DUMMYFUNCTION("""COMPUTED_VALUE"""),576.83)</f>
        <v>576.83</v>
      </c>
      <c r="J1101" s="7"/>
    </row>
    <row r="1102">
      <c r="A1102" s="7"/>
      <c r="B1102" s="7"/>
      <c r="C1102" s="7"/>
      <c r="D1102" s="7"/>
      <c r="E1102" s="7"/>
      <c r="F1102" s="7"/>
      <c r="G1102" s="7"/>
      <c r="H1102" s="15">
        <f>IFERROR(__xludf.DUMMYFUNCTION("""COMPUTED_VALUE"""),44334.66666666667)</f>
        <v>44334.66667</v>
      </c>
      <c r="I1102" s="16">
        <f>IFERROR(__xludf.DUMMYFUNCTION("""COMPUTED_VALUE"""),577.87)</f>
        <v>577.87</v>
      </c>
      <c r="J1102" s="7"/>
    </row>
    <row r="1103">
      <c r="A1103" s="7"/>
      <c r="B1103" s="7"/>
      <c r="C1103" s="7"/>
      <c r="D1103" s="7"/>
      <c r="E1103" s="7"/>
      <c r="F1103" s="7"/>
      <c r="G1103" s="7"/>
      <c r="H1103" s="15">
        <f>IFERROR(__xludf.DUMMYFUNCTION("""COMPUTED_VALUE"""),44335.66666666667)</f>
        <v>44335.66667</v>
      </c>
      <c r="I1103" s="16">
        <f>IFERROR(__xludf.DUMMYFUNCTION("""COMPUTED_VALUE"""),563.46)</f>
        <v>563.46</v>
      </c>
      <c r="J1103" s="7"/>
    </row>
    <row r="1104">
      <c r="A1104" s="7"/>
      <c r="B1104" s="7"/>
      <c r="C1104" s="7"/>
      <c r="D1104" s="7"/>
      <c r="E1104" s="7"/>
      <c r="F1104" s="7"/>
      <c r="G1104" s="7"/>
      <c r="H1104" s="15">
        <f>IFERROR(__xludf.DUMMYFUNCTION("""COMPUTED_VALUE"""),44336.66666666667)</f>
        <v>44336.66667</v>
      </c>
      <c r="I1104" s="16">
        <f>IFERROR(__xludf.DUMMYFUNCTION("""COMPUTED_VALUE"""),586.78)</f>
        <v>586.78</v>
      </c>
      <c r="J1104" s="7"/>
    </row>
    <row r="1105">
      <c r="A1105" s="7"/>
      <c r="B1105" s="7"/>
      <c r="C1105" s="7"/>
      <c r="D1105" s="7"/>
      <c r="E1105" s="7"/>
      <c r="F1105" s="7"/>
      <c r="G1105" s="7"/>
      <c r="H1105" s="15">
        <f>IFERROR(__xludf.DUMMYFUNCTION("""COMPUTED_VALUE"""),44337.66666666667)</f>
        <v>44337.66667</v>
      </c>
      <c r="I1105" s="16">
        <f>IFERROR(__xludf.DUMMYFUNCTION("""COMPUTED_VALUE"""),580.88)</f>
        <v>580.88</v>
      </c>
      <c r="J1105" s="7"/>
    </row>
    <row r="1106">
      <c r="A1106" s="7"/>
      <c r="B1106" s="7"/>
      <c r="C1106" s="7"/>
      <c r="D1106" s="7"/>
      <c r="E1106" s="7"/>
      <c r="F1106" s="7"/>
      <c r="G1106" s="7"/>
      <c r="H1106" s="15">
        <f>IFERROR(__xludf.DUMMYFUNCTION("""COMPUTED_VALUE"""),44340.66666666667)</f>
        <v>44340.66667</v>
      </c>
      <c r="I1106" s="16">
        <f>IFERROR(__xludf.DUMMYFUNCTION("""COMPUTED_VALUE"""),606.44)</f>
        <v>606.44</v>
      </c>
      <c r="J1106" s="7"/>
    </row>
    <row r="1107">
      <c r="A1107" s="7"/>
      <c r="B1107" s="7"/>
      <c r="C1107" s="7"/>
      <c r="D1107" s="7"/>
      <c r="E1107" s="7"/>
      <c r="F1107" s="7"/>
      <c r="G1107" s="7"/>
      <c r="H1107" s="15">
        <f>IFERROR(__xludf.DUMMYFUNCTION("""COMPUTED_VALUE"""),44341.66666666667)</f>
        <v>44341.66667</v>
      </c>
      <c r="I1107" s="16">
        <f>IFERROR(__xludf.DUMMYFUNCTION("""COMPUTED_VALUE"""),604.69)</f>
        <v>604.69</v>
      </c>
      <c r="J1107" s="7"/>
    </row>
    <row r="1108">
      <c r="A1108" s="7"/>
      <c r="B1108" s="7"/>
      <c r="C1108" s="7"/>
      <c r="D1108" s="7"/>
      <c r="E1108" s="7"/>
      <c r="F1108" s="7"/>
      <c r="G1108" s="7"/>
      <c r="H1108" s="15">
        <f>IFERROR(__xludf.DUMMYFUNCTION("""COMPUTED_VALUE"""),44342.66666666667)</f>
        <v>44342.66667</v>
      </c>
      <c r="I1108" s="16">
        <f>IFERROR(__xludf.DUMMYFUNCTION("""COMPUTED_VALUE"""),619.13)</f>
        <v>619.13</v>
      </c>
      <c r="J1108" s="7"/>
    </row>
    <row r="1109">
      <c r="A1109" s="7"/>
      <c r="B1109" s="7"/>
      <c r="C1109" s="7"/>
      <c r="D1109" s="7"/>
      <c r="E1109" s="7"/>
      <c r="F1109" s="7"/>
      <c r="G1109" s="7"/>
      <c r="H1109" s="15">
        <f>IFERROR(__xludf.DUMMYFUNCTION("""COMPUTED_VALUE"""),44343.66666666667)</f>
        <v>44343.66667</v>
      </c>
      <c r="I1109" s="16">
        <f>IFERROR(__xludf.DUMMYFUNCTION("""COMPUTED_VALUE"""),630.85)</f>
        <v>630.85</v>
      </c>
      <c r="J1109" s="7"/>
    </row>
    <row r="1110">
      <c r="A1110" s="7"/>
      <c r="B1110" s="7"/>
      <c r="C1110" s="7"/>
      <c r="D1110" s="7"/>
      <c r="E1110" s="7"/>
      <c r="F1110" s="7"/>
      <c r="G1110" s="7"/>
      <c r="H1110" s="15">
        <f>IFERROR(__xludf.DUMMYFUNCTION("""COMPUTED_VALUE"""),44344.66666666667)</f>
        <v>44344.66667</v>
      </c>
      <c r="I1110" s="16">
        <f>IFERROR(__xludf.DUMMYFUNCTION("""COMPUTED_VALUE"""),625.22)</f>
        <v>625.22</v>
      </c>
      <c r="J1110" s="7"/>
    </row>
    <row r="1111">
      <c r="A1111" s="7"/>
      <c r="B1111" s="7"/>
      <c r="C1111" s="7"/>
      <c r="D1111" s="7"/>
      <c r="E1111" s="7"/>
      <c r="F1111" s="7"/>
      <c r="G1111" s="7"/>
      <c r="H1111" s="15">
        <f>IFERROR(__xludf.DUMMYFUNCTION("""COMPUTED_VALUE"""),44348.66666666667)</f>
        <v>44348.66667</v>
      </c>
      <c r="I1111" s="16">
        <f>IFERROR(__xludf.DUMMYFUNCTION("""COMPUTED_VALUE"""),623.9)</f>
        <v>623.9</v>
      </c>
      <c r="J1111" s="7"/>
    </row>
    <row r="1112">
      <c r="A1112" s="7"/>
      <c r="B1112" s="7"/>
      <c r="C1112" s="7"/>
      <c r="D1112" s="7"/>
      <c r="E1112" s="7"/>
      <c r="F1112" s="7"/>
      <c r="G1112" s="7"/>
      <c r="H1112" s="15">
        <f>IFERROR(__xludf.DUMMYFUNCTION("""COMPUTED_VALUE"""),44349.66666666667)</f>
        <v>44349.66667</v>
      </c>
      <c r="I1112" s="16">
        <f>IFERROR(__xludf.DUMMYFUNCTION("""COMPUTED_VALUE"""),605.12)</f>
        <v>605.12</v>
      </c>
      <c r="J1112" s="7"/>
    </row>
    <row r="1113">
      <c r="A1113" s="7"/>
      <c r="B1113" s="7"/>
      <c r="C1113" s="7"/>
      <c r="D1113" s="7"/>
      <c r="E1113" s="7"/>
      <c r="F1113" s="7"/>
      <c r="G1113" s="7"/>
      <c r="H1113" s="15">
        <f>IFERROR(__xludf.DUMMYFUNCTION("""COMPUTED_VALUE"""),44350.66666666667)</f>
        <v>44350.66667</v>
      </c>
      <c r="I1113" s="16">
        <f>IFERROR(__xludf.DUMMYFUNCTION("""COMPUTED_VALUE"""),572.84)</f>
        <v>572.84</v>
      </c>
      <c r="J1113" s="7"/>
    </row>
    <row r="1114">
      <c r="A1114" s="7"/>
      <c r="B1114" s="7"/>
      <c r="C1114" s="7"/>
      <c r="D1114" s="7"/>
      <c r="E1114" s="7"/>
      <c r="F1114" s="7"/>
      <c r="G1114" s="7"/>
      <c r="H1114" s="15">
        <f>IFERROR(__xludf.DUMMYFUNCTION("""COMPUTED_VALUE"""),44351.66666666667)</f>
        <v>44351.66667</v>
      </c>
      <c r="I1114" s="16">
        <f>IFERROR(__xludf.DUMMYFUNCTION("""COMPUTED_VALUE"""),599.05)</f>
        <v>599.05</v>
      </c>
      <c r="J1114" s="7"/>
    </row>
    <row r="1115">
      <c r="A1115" s="7"/>
      <c r="B1115" s="7"/>
      <c r="C1115" s="7"/>
      <c r="D1115" s="7"/>
      <c r="E1115" s="7"/>
      <c r="F1115" s="7"/>
      <c r="G1115" s="7"/>
      <c r="H1115" s="15">
        <f>IFERROR(__xludf.DUMMYFUNCTION("""COMPUTED_VALUE"""),44354.66666666667)</f>
        <v>44354.66667</v>
      </c>
      <c r="I1115" s="16">
        <f>IFERROR(__xludf.DUMMYFUNCTION("""COMPUTED_VALUE"""),605.13)</f>
        <v>605.13</v>
      </c>
      <c r="J1115" s="7"/>
    </row>
    <row r="1116">
      <c r="A1116" s="7"/>
      <c r="B1116" s="7"/>
      <c r="C1116" s="7"/>
      <c r="D1116" s="7"/>
      <c r="E1116" s="7"/>
      <c r="F1116" s="7"/>
      <c r="G1116" s="7"/>
      <c r="H1116" s="15">
        <f>IFERROR(__xludf.DUMMYFUNCTION("""COMPUTED_VALUE"""),44355.66666666667)</f>
        <v>44355.66667</v>
      </c>
      <c r="I1116" s="16">
        <f>IFERROR(__xludf.DUMMYFUNCTION("""COMPUTED_VALUE"""),603.59)</f>
        <v>603.59</v>
      </c>
      <c r="J1116" s="7"/>
    </row>
    <row r="1117">
      <c r="A1117" s="7"/>
      <c r="B1117" s="7"/>
      <c r="C1117" s="7"/>
      <c r="D1117" s="7"/>
      <c r="E1117" s="7"/>
      <c r="F1117" s="7"/>
      <c r="G1117" s="7"/>
      <c r="H1117" s="15">
        <f>IFERROR(__xludf.DUMMYFUNCTION("""COMPUTED_VALUE"""),44356.66666666667)</f>
        <v>44356.66667</v>
      </c>
      <c r="I1117" s="16">
        <f>IFERROR(__xludf.DUMMYFUNCTION("""COMPUTED_VALUE"""),598.78)</f>
        <v>598.78</v>
      </c>
      <c r="J1117" s="7"/>
    </row>
    <row r="1118">
      <c r="A1118" s="7"/>
      <c r="B1118" s="7"/>
      <c r="C1118" s="7"/>
      <c r="D1118" s="7"/>
      <c r="E1118" s="7"/>
      <c r="F1118" s="7"/>
      <c r="G1118" s="7"/>
      <c r="H1118" s="15">
        <f>IFERROR(__xludf.DUMMYFUNCTION("""COMPUTED_VALUE"""),44357.66666666667)</f>
        <v>44357.66667</v>
      </c>
      <c r="I1118" s="16">
        <f>IFERROR(__xludf.DUMMYFUNCTION("""COMPUTED_VALUE"""),610.12)</f>
        <v>610.12</v>
      </c>
      <c r="J1118" s="7"/>
    </row>
    <row r="1119">
      <c r="A1119" s="7"/>
      <c r="B1119" s="7"/>
      <c r="C1119" s="7"/>
      <c r="D1119" s="7"/>
      <c r="E1119" s="7"/>
      <c r="F1119" s="7"/>
      <c r="G1119" s="7"/>
      <c r="H1119" s="15">
        <f>IFERROR(__xludf.DUMMYFUNCTION("""COMPUTED_VALUE"""),44358.66666666667)</f>
        <v>44358.66667</v>
      </c>
      <c r="I1119" s="16">
        <f>IFERROR(__xludf.DUMMYFUNCTION("""COMPUTED_VALUE"""),609.89)</f>
        <v>609.89</v>
      </c>
      <c r="J1119" s="7"/>
    </row>
    <row r="1120">
      <c r="A1120" s="7"/>
      <c r="B1120" s="7"/>
      <c r="C1120" s="7"/>
      <c r="D1120" s="7"/>
      <c r="E1120" s="7"/>
      <c r="F1120" s="7"/>
      <c r="G1120" s="7"/>
      <c r="H1120" s="15">
        <f>IFERROR(__xludf.DUMMYFUNCTION("""COMPUTED_VALUE"""),44361.66666666667)</f>
        <v>44361.66667</v>
      </c>
      <c r="I1120" s="16">
        <f>IFERROR(__xludf.DUMMYFUNCTION("""COMPUTED_VALUE"""),617.69)</f>
        <v>617.69</v>
      </c>
      <c r="J1120" s="7"/>
    </row>
    <row r="1121">
      <c r="A1121" s="7"/>
      <c r="B1121" s="7"/>
      <c r="C1121" s="7"/>
      <c r="D1121" s="7"/>
      <c r="E1121" s="7"/>
      <c r="F1121" s="7"/>
      <c r="G1121" s="7"/>
      <c r="H1121" s="15">
        <f>IFERROR(__xludf.DUMMYFUNCTION("""COMPUTED_VALUE"""),44362.66666666667)</f>
        <v>44362.66667</v>
      </c>
      <c r="I1121" s="16">
        <f>IFERROR(__xludf.DUMMYFUNCTION("""COMPUTED_VALUE"""),599.36)</f>
        <v>599.36</v>
      </c>
      <c r="J1121" s="7"/>
    </row>
    <row r="1122">
      <c r="A1122" s="7"/>
      <c r="B1122" s="7"/>
      <c r="C1122" s="7"/>
      <c r="D1122" s="7"/>
      <c r="E1122" s="7"/>
      <c r="F1122" s="7"/>
      <c r="G1122" s="7"/>
      <c r="H1122" s="15">
        <f>IFERROR(__xludf.DUMMYFUNCTION("""COMPUTED_VALUE"""),44363.66666666667)</f>
        <v>44363.66667</v>
      </c>
      <c r="I1122" s="16">
        <f>IFERROR(__xludf.DUMMYFUNCTION("""COMPUTED_VALUE"""),604.87)</f>
        <v>604.87</v>
      </c>
      <c r="J1122" s="7"/>
    </row>
    <row r="1123">
      <c r="A1123" s="7"/>
      <c r="B1123" s="7"/>
      <c r="C1123" s="7"/>
      <c r="D1123" s="7"/>
      <c r="E1123" s="7"/>
      <c r="F1123" s="7"/>
      <c r="G1123" s="7"/>
      <c r="H1123" s="15">
        <f>IFERROR(__xludf.DUMMYFUNCTION("""COMPUTED_VALUE"""),44364.66666666667)</f>
        <v>44364.66667</v>
      </c>
      <c r="I1123" s="16">
        <f>IFERROR(__xludf.DUMMYFUNCTION("""COMPUTED_VALUE"""),616.6)</f>
        <v>616.6</v>
      </c>
      <c r="J1123" s="7"/>
    </row>
    <row r="1124">
      <c r="A1124" s="7"/>
      <c r="B1124" s="7"/>
      <c r="C1124" s="7"/>
      <c r="D1124" s="7"/>
      <c r="E1124" s="7"/>
      <c r="F1124" s="7"/>
      <c r="G1124" s="7"/>
      <c r="H1124" s="15">
        <f>IFERROR(__xludf.DUMMYFUNCTION("""COMPUTED_VALUE"""),44365.66666666667)</f>
        <v>44365.66667</v>
      </c>
      <c r="I1124" s="16">
        <f>IFERROR(__xludf.DUMMYFUNCTION("""COMPUTED_VALUE"""),623.31)</f>
        <v>623.31</v>
      </c>
      <c r="J1124" s="7"/>
    </row>
    <row r="1125">
      <c r="A1125" s="7"/>
      <c r="B1125" s="7"/>
      <c r="C1125" s="7"/>
      <c r="D1125" s="7"/>
      <c r="E1125" s="7"/>
      <c r="F1125" s="7"/>
      <c r="G1125" s="7"/>
      <c r="H1125" s="15">
        <f>IFERROR(__xludf.DUMMYFUNCTION("""COMPUTED_VALUE"""),44368.66666666667)</f>
        <v>44368.66667</v>
      </c>
      <c r="I1125" s="16">
        <f>IFERROR(__xludf.DUMMYFUNCTION("""COMPUTED_VALUE"""),620.83)</f>
        <v>620.83</v>
      </c>
      <c r="J1125" s="7"/>
    </row>
    <row r="1126">
      <c r="A1126" s="7"/>
      <c r="B1126" s="7"/>
      <c r="C1126" s="7"/>
      <c r="D1126" s="7"/>
      <c r="E1126" s="7"/>
      <c r="F1126" s="7"/>
      <c r="G1126" s="7"/>
      <c r="H1126" s="15">
        <f>IFERROR(__xludf.DUMMYFUNCTION("""COMPUTED_VALUE"""),44369.66666666667)</f>
        <v>44369.66667</v>
      </c>
      <c r="I1126" s="16">
        <f>IFERROR(__xludf.DUMMYFUNCTION("""COMPUTED_VALUE"""),623.71)</f>
        <v>623.71</v>
      </c>
      <c r="J1126" s="7"/>
    </row>
    <row r="1127">
      <c r="A1127" s="7"/>
      <c r="B1127" s="7"/>
      <c r="C1127" s="7"/>
      <c r="D1127" s="7"/>
      <c r="E1127" s="7"/>
      <c r="F1127" s="7"/>
      <c r="G1127" s="7"/>
      <c r="H1127" s="15">
        <f>IFERROR(__xludf.DUMMYFUNCTION("""COMPUTED_VALUE"""),44370.66666666667)</f>
        <v>44370.66667</v>
      </c>
      <c r="I1127" s="16">
        <f>IFERROR(__xludf.DUMMYFUNCTION("""COMPUTED_VALUE"""),656.57)</f>
        <v>656.57</v>
      </c>
      <c r="J1127" s="7"/>
    </row>
    <row r="1128">
      <c r="A1128" s="7"/>
      <c r="B1128" s="7"/>
      <c r="C1128" s="7"/>
      <c r="D1128" s="7"/>
      <c r="E1128" s="7"/>
      <c r="F1128" s="7"/>
      <c r="G1128" s="7"/>
      <c r="H1128" s="15">
        <f>IFERROR(__xludf.DUMMYFUNCTION("""COMPUTED_VALUE"""),44371.66666666667)</f>
        <v>44371.66667</v>
      </c>
      <c r="I1128" s="16">
        <f>IFERROR(__xludf.DUMMYFUNCTION("""COMPUTED_VALUE"""),679.82)</f>
        <v>679.82</v>
      </c>
      <c r="J1128" s="7"/>
    </row>
    <row r="1129">
      <c r="A1129" s="7"/>
      <c r="B1129" s="7"/>
      <c r="C1129" s="7"/>
      <c r="D1129" s="7"/>
      <c r="E1129" s="7"/>
      <c r="F1129" s="7"/>
      <c r="G1129" s="7"/>
      <c r="H1129" s="15">
        <f>IFERROR(__xludf.DUMMYFUNCTION("""COMPUTED_VALUE"""),44372.66666666667)</f>
        <v>44372.66667</v>
      </c>
      <c r="I1129" s="16">
        <f>IFERROR(__xludf.DUMMYFUNCTION("""COMPUTED_VALUE"""),671.87)</f>
        <v>671.87</v>
      </c>
      <c r="J1129" s="7"/>
    </row>
    <row r="1130">
      <c r="A1130" s="7"/>
      <c r="B1130" s="7"/>
      <c r="C1130" s="7"/>
      <c r="D1130" s="7"/>
      <c r="E1130" s="7"/>
      <c r="F1130" s="7"/>
      <c r="G1130" s="7"/>
      <c r="H1130" s="15">
        <f>IFERROR(__xludf.DUMMYFUNCTION("""COMPUTED_VALUE"""),44375.66666666667)</f>
        <v>44375.66667</v>
      </c>
      <c r="I1130" s="16">
        <f>IFERROR(__xludf.DUMMYFUNCTION("""COMPUTED_VALUE"""),688.72)</f>
        <v>688.72</v>
      </c>
      <c r="J1130" s="7"/>
    </row>
    <row r="1131">
      <c r="A1131" s="7"/>
      <c r="B1131" s="7"/>
      <c r="C1131" s="7"/>
      <c r="D1131" s="7"/>
      <c r="E1131" s="7"/>
      <c r="F1131" s="7"/>
      <c r="G1131" s="7"/>
      <c r="H1131" s="15">
        <f>IFERROR(__xludf.DUMMYFUNCTION("""COMPUTED_VALUE"""),44376.66666666667)</f>
        <v>44376.66667</v>
      </c>
      <c r="I1131" s="16">
        <f>IFERROR(__xludf.DUMMYFUNCTION("""COMPUTED_VALUE"""),680.76)</f>
        <v>680.76</v>
      </c>
      <c r="J1131" s="7"/>
    </row>
    <row r="1132">
      <c r="A1132" s="7"/>
      <c r="B1132" s="7"/>
      <c r="C1132" s="7"/>
      <c r="D1132" s="7"/>
      <c r="E1132" s="7"/>
      <c r="F1132" s="7"/>
      <c r="G1132" s="7"/>
      <c r="H1132" s="15">
        <f>IFERROR(__xludf.DUMMYFUNCTION("""COMPUTED_VALUE"""),44377.66666666667)</f>
        <v>44377.66667</v>
      </c>
      <c r="I1132" s="16">
        <f>IFERROR(__xludf.DUMMYFUNCTION("""COMPUTED_VALUE"""),679.7)</f>
        <v>679.7</v>
      </c>
      <c r="J1132" s="7"/>
    </row>
    <row r="1133">
      <c r="A1133" s="7"/>
      <c r="B1133" s="7"/>
      <c r="C1133" s="7"/>
      <c r="D1133" s="7"/>
      <c r="E1133" s="7"/>
      <c r="F1133" s="7"/>
      <c r="G1133" s="7"/>
      <c r="H1133" s="15">
        <f>IFERROR(__xludf.DUMMYFUNCTION("""COMPUTED_VALUE"""),44378.66666666667)</f>
        <v>44378.66667</v>
      </c>
      <c r="I1133" s="16">
        <f>IFERROR(__xludf.DUMMYFUNCTION("""COMPUTED_VALUE"""),677.92)</f>
        <v>677.92</v>
      </c>
      <c r="J1133" s="7"/>
    </row>
    <row r="1134">
      <c r="A1134" s="7"/>
      <c r="B1134" s="7"/>
      <c r="C1134" s="7"/>
      <c r="D1134" s="7"/>
      <c r="E1134" s="7"/>
      <c r="F1134" s="7"/>
      <c r="G1134" s="7"/>
      <c r="H1134" s="15">
        <f>IFERROR(__xludf.DUMMYFUNCTION("""COMPUTED_VALUE"""),44379.66666666667)</f>
        <v>44379.66667</v>
      </c>
      <c r="I1134" s="16">
        <f>IFERROR(__xludf.DUMMYFUNCTION("""COMPUTED_VALUE"""),678.9)</f>
        <v>678.9</v>
      </c>
      <c r="J1134" s="7"/>
    </row>
    <row r="1135">
      <c r="A1135" s="7"/>
      <c r="B1135" s="7"/>
      <c r="C1135" s="7"/>
      <c r="D1135" s="7"/>
      <c r="E1135" s="7"/>
      <c r="F1135" s="7"/>
      <c r="G1135" s="7"/>
      <c r="H1135" s="15">
        <f>IFERROR(__xludf.DUMMYFUNCTION("""COMPUTED_VALUE"""),44383.66666666667)</f>
        <v>44383.66667</v>
      </c>
      <c r="I1135" s="16">
        <f>IFERROR(__xludf.DUMMYFUNCTION("""COMPUTED_VALUE"""),659.58)</f>
        <v>659.58</v>
      </c>
      <c r="J1135" s="7"/>
    </row>
    <row r="1136">
      <c r="A1136" s="7"/>
      <c r="B1136" s="7"/>
      <c r="C1136" s="7"/>
      <c r="D1136" s="7"/>
      <c r="E1136" s="7"/>
      <c r="F1136" s="7"/>
      <c r="G1136" s="7"/>
      <c r="H1136" s="15">
        <f>IFERROR(__xludf.DUMMYFUNCTION("""COMPUTED_VALUE"""),44384.66666666667)</f>
        <v>44384.66667</v>
      </c>
      <c r="I1136" s="16">
        <f>IFERROR(__xludf.DUMMYFUNCTION("""COMPUTED_VALUE"""),644.65)</f>
        <v>644.65</v>
      </c>
      <c r="J1136" s="7"/>
    </row>
    <row r="1137">
      <c r="A1137" s="7"/>
      <c r="B1137" s="7"/>
      <c r="C1137" s="7"/>
      <c r="D1137" s="7"/>
      <c r="E1137" s="7"/>
      <c r="F1137" s="7"/>
      <c r="G1137" s="7"/>
      <c r="H1137" s="15">
        <f>IFERROR(__xludf.DUMMYFUNCTION("""COMPUTED_VALUE"""),44385.66666666667)</f>
        <v>44385.66667</v>
      </c>
      <c r="I1137" s="16">
        <f>IFERROR(__xludf.DUMMYFUNCTION("""COMPUTED_VALUE"""),652.81)</f>
        <v>652.81</v>
      </c>
      <c r="J1137" s="7"/>
    </row>
    <row r="1138">
      <c r="A1138" s="7"/>
      <c r="B1138" s="7"/>
      <c r="C1138" s="7"/>
      <c r="D1138" s="7"/>
      <c r="E1138" s="7"/>
      <c r="F1138" s="7"/>
      <c r="G1138" s="7"/>
      <c r="H1138" s="15">
        <f>IFERROR(__xludf.DUMMYFUNCTION("""COMPUTED_VALUE"""),44386.66666666667)</f>
        <v>44386.66667</v>
      </c>
      <c r="I1138" s="16">
        <f>IFERROR(__xludf.DUMMYFUNCTION("""COMPUTED_VALUE"""),656.95)</f>
        <v>656.95</v>
      </c>
      <c r="J1138" s="7"/>
    </row>
    <row r="1139">
      <c r="A1139" s="7"/>
      <c r="B1139" s="7"/>
      <c r="C1139" s="7"/>
      <c r="D1139" s="7"/>
      <c r="E1139" s="7"/>
      <c r="F1139" s="7"/>
      <c r="G1139" s="7"/>
      <c r="H1139" s="15">
        <f>IFERROR(__xludf.DUMMYFUNCTION("""COMPUTED_VALUE"""),44389.66666666667)</f>
        <v>44389.66667</v>
      </c>
      <c r="I1139" s="16">
        <f>IFERROR(__xludf.DUMMYFUNCTION("""COMPUTED_VALUE"""),685.7)</f>
        <v>685.7</v>
      </c>
      <c r="J1139" s="7"/>
    </row>
    <row r="1140">
      <c r="A1140" s="7"/>
      <c r="B1140" s="7"/>
      <c r="C1140" s="7"/>
      <c r="D1140" s="7"/>
      <c r="E1140" s="7"/>
      <c r="F1140" s="7"/>
      <c r="G1140" s="7"/>
      <c r="H1140" s="15">
        <f>IFERROR(__xludf.DUMMYFUNCTION("""COMPUTED_VALUE"""),44390.66666666667)</f>
        <v>44390.66667</v>
      </c>
      <c r="I1140" s="16">
        <f>IFERROR(__xludf.DUMMYFUNCTION("""COMPUTED_VALUE"""),668.54)</f>
        <v>668.54</v>
      </c>
      <c r="J1140" s="7"/>
    </row>
    <row r="1141">
      <c r="A1141" s="7"/>
      <c r="B1141" s="7"/>
      <c r="C1141" s="7"/>
      <c r="D1141" s="7"/>
      <c r="E1141" s="7"/>
      <c r="F1141" s="7"/>
      <c r="G1141" s="7"/>
      <c r="H1141" s="15">
        <f>IFERROR(__xludf.DUMMYFUNCTION("""COMPUTED_VALUE"""),44391.66666666667)</f>
        <v>44391.66667</v>
      </c>
      <c r="I1141" s="16">
        <f>IFERROR(__xludf.DUMMYFUNCTION("""COMPUTED_VALUE"""),653.38)</f>
        <v>653.38</v>
      </c>
      <c r="J1141" s="7"/>
    </row>
    <row r="1142">
      <c r="A1142" s="7"/>
      <c r="B1142" s="7"/>
      <c r="C1142" s="7"/>
      <c r="D1142" s="7"/>
      <c r="E1142" s="7"/>
      <c r="F1142" s="7"/>
      <c r="G1142" s="7"/>
      <c r="H1142" s="15">
        <f>IFERROR(__xludf.DUMMYFUNCTION("""COMPUTED_VALUE"""),44392.66666666667)</f>
        <v>44392.66667</v>
      </c>
      <c r="I1142" s="16">
        <f>IFERROR(__xludf.DUMMYFUNCTION("""COMPUTED_VALUE"""),650.6)</f>
        <v>650.6</v>
      </c>
      <c r="J1142" s="7"/>
    </row>
    <row r="1143">
      <c r="A1143" s="7"/>
      <c r="B1143" s="7"/>
      <c r="C1143" s="7"/>
      <c r="D1143" s="7"/>
      <c r="E1143" s="7"/>
      <c r="F1143" s="7"/>
      <c r="G1143" s="7"/>
      <c r="H1143" s="15">
        <f>IFERROR(__xludf.DUMMYFUNCTION("""COMPUTED_VALUE"""),44393.66666666667)</f>
        <v>44393.66667</v>
      </c>
      <c r="I1143" s="16">
        <f>IFERROR(__xludf.DUMMYFUNCTION("""COMPUTED_VALUE"""),644.22)</f>
        <v>644.22</v>
      </c>
      <c r="J1143" s="7"/>
    </row>
    <row r="1144">
      <c r="A1144" s="7"/>
      <c r="B1144" s="7"/>
      <c r="C1144" s="7"/>
      <c r="D1144" s="7"/>
      <c r="E1144" s="7"/>
      <c r="F1144" s="7"/>
      <c r="G1144" s="7"/>
      <c r="H1144" s="15"/>
      <c r="I1144" s="16"/>
      <c r="J1144" s="7"/>
    </row>
    <row r="1145">
      <c r="A1145" s="7"/>
      <c r="B1145" s="7"/>
      <c r="C1145" s="7"/>
      <c r="D1145" s="7"/>
      <c r="E1145" s="7"/>
      <c r="F1145" s="7"/>
      <c r="G1145" s="7"/>
      <c r="H1145" s="15"/>
      <c r="I1145" s="16"/>
      <c r="J1145" s="7"/>
    </row>
    <row r="1146">
      <c r="A1146" s="7"/>
      <c r="B1146" s="7"/>
      <c r="C1146" s="7"/>
      <c r="D1146" s="7"/>
      <c r="E1146" s="7"/>
      <c r="F1146" s="7"/>
      <c r="G1146" s="7"/>
      <c r="H1146" s="15"/>
      <c r="I1146" s="16"/>
      <c r="J1146" s="7"/>
    </row>
    <row r="1147">
      <c r="A1147" s="7"/>
      <c r="B1147" s="7"/>
      <c r="C1147" s="7"/>
      <c r="D1147" s="7"/>
      <c r="E1147" s="7"/>
      <c r="F1147" s="7"/>
      <c r="G1147" s="7"/>
      <c r="H1147" s="15"/>
      <c r="I1147" s="16"/>
      <c r="J1147" s="7"/>
    </row>
    <row r="1148">
      <c r="A1148" s="7"/>
      <c r="B1148" s="7"/>
      <c r="C1148" s="7"/>
      <c r="D1148" s="7"/>
      <c r="E1148" s="7"/>
      <c r="F1148" s="7"/>
      <c r="G1148" s="7"/>
      <c r="H1148" s="15"/>
      <c r="I1148" s="16"/>
      <c r="J1148" s="7"/>
    </row>
    <row r="1149">
      <c r="A1149" s="7"/>
      <c r="B1149" s="7"/>
      <c r="C1149" s="7"/>
      <c r="D1149" s="7"/>
      <c r="E1149" s="7"/>
      <c r="F1149" s="7"/>
      <c r="G1149" s="7"/>
      <c r="H1149" s="15"/>
      <c r="I1149" s="16"/>
      <c r="J1149" s="7"/>
    </row>
    <row r="1150">
      <c r="A1150" s="7"/>
      <c r="B1150" s="7"/>
      <c r="C1150" s="7"/>
      <c r="D1150" s="7"/>
      <c r="E1150" s="7"/>
      <c r="F1150" s="7"/>
      <c r="G1150" s="7"/>
      <c r="H1150" s="15"/>
      <c r="I1150" s="16"/>
      <c r="J1150" s="7"/>
    </row>
    <row r="1151">
      <c r="A1151" s="7"/>
      <c r="B1151" s="7"/>
      <c r="C1151" s="7"/>
      <c r="D1151" s="7"/>
      <c r="E1151" s="7"/>
      <c r="F1151" s="7"/>
      <c r="G1151" s="7"/>
      <c r="H1151" s="15"/>
      <c r="I1151" s="16"/>
      <c r="J1151" s="7"/>
    </row>
    <row r="1152">
      <c r="A1152" s="7"/>
      <c r="B1152" s="7"/>
      <c r="C1152" s="7"/>
      <c r="D1152" s="7"/>
      <c r="E1152" s="7"/>
      <c r="F1152" s="7"/>
      <c r="G1152" s="7"/>
      <c r="H1152" s="15"/>
      <c r="I1152" s="16"/>
      <c r="J1152" s="7"/>
    </row>
    <row r="1153">
      <c r="A1153" s="7"/>
      <c r="B1153" s="7"/>
      <c r="C1153" s="7"/>
      <c r="D1153" s="7"/>
      <c r="E1153" s="7"/>
      <c r="F1153" s="7"/>
      <c r="G1153" s="7"/>
      <c r="H1153" s="15"/>
      <c r="I1153" s="16"/>
      <c r="J1153" s="7"/>
    </row>
    <row r="1154">
      <c r="A1154" s="7"/>
      <c r="B1154" s="7"/>
      <c r="C1154" s="7"/>
      <c r="D1154" s="7"/>
      <c r="E1154" s="7"/>
      <c r="F1154" s="7"/>
      <c r="G1154" s="7"/>
      <c r="H1154" s="15"/>
      <c r="I1154" s="16"/>
      <c r="J1154" s="7"/>
    </row>
    <row r="1155">
      <c r="A1155" s="7"/>
      <c r="B1155" s="7"/>
      <c r="C1155" s="7"/>
      <c r="D1155" s="7"/>
      <c r="E1155" s="7"/>
      <c r="F1155" s="7"/>
      <c r="G1155" s="7"/>
      <c r="H1155" s="15"/>
      <c r="I1155" s="16"/>
      <c r="J1155" s="7"/>
    </row>
    <row r="1156">
      <c r="A1156" s="7"/>
      <c r="B1156" s="7"/>
      <c r="C1156" s="7"/>
      <c r="D1156" s="7"/>
      <c r="E1156" s="7"/>
      <c r="F1156" s="7"/>
      <c r="G1156" s="7"/>
      <c r="H1156" s="15"/>
      <c r="I1156" s="16"/>
      <c r="J1156" s="7"/>
    </row>
    <row r="1157">
      <c r="A1157" s="7"/>
      <c r="B1157" s="7"/>
      <c r="C1157" s="7"/>
      <c r="D1157" s="7"/>
      <c r="E1157" s="7"/>
      <c r="F1157" s="7"/>
      <c r="G1157" s="7"/>
      <c r="H1157" s="15"/>
      <c r="I1157" s="16"/>
      <c r="J1157" s="7"/>
    </row>
    <row r="1158">
      <c r="A1158" s="7"/>
      <c r="B1158" s="7"/>
      <c r="C1158" s="7"/>
      <c r="D1158" s="7"/>
      <c r="E1158" s="7"/>
      <c r="F1158" s="7"/>
      <c r="G1158" s="7"/>
      <c r="H1158" s="15"/>
      <c r="I1158" s="16"/>
      <c r="J1158" s="7"/>
    </row>
    <row r="1159">
      <c r="A1159" s="7"/>
      <c r="B1159" s="7"/>
      <c r="C1159" s="7"/>
      <c r="D1159" s="7"/>
      <c r="E1159" s="7"/>
      <c r="F1159" s="7"/>
      <c r="G1159" s="7"/>
      <c r="H1159" s="15"/>
      <c r="I1159" s="16"/>
      <c r="J1159" s="7"/>
    </row>
    <row r="1160">
      <c r="A1160" s="7"/>
      <c r="B1160" s="7"/>
      <c r="C1160" s="7"/>
      <c r="D1160" s="7"/>
      <c r="E1160" s="7"/>
      <c r="F1160" s="7"/>
      <c r="G1160" s="7"/>
      <c r="H1160" s="15"/>
      <c r="I1160" s="16"/>
      <c r="J1160" s="7"/>
    </row>
    <row r="1161">
      <c r="A1161" s="7"/>
      <c r="B1161" s="7"/>
      <c r="C1161" s="7"/>
      <c r="D1161" s="7"/>
      <c r="E1161" s="7"/>
      <c r="F1161" s="7"/>
      <c r="G1161" s="7"/>
      <c r="H1161" s="15"/>
      <c r="I1161" s="16"/>
      <c r="J1161" s="7"/>
    </row>
    <row r="1162">
      <c r="A1162" s="7"/>
      <c r="B1162" s="7"/>
      <c r="C1162" s="7"/>
      <c r="D1162" s="7"/>
      <c r="E1162" s="7"/>
      <c r="F1162" s="7"/>
      <c r="G1162" s="7"/>
      <c r="H1162" s="15"/>
      <c r="I1162" s="16"/>
      <c r="J1162" s="7"/>
    </row>
    <row r="1163">
      <c r="A1163" s="7"/>
      <c r="B1163" s="7"/>
      <c r="C1163" s="7"/>
      <c r="D1163" s="7"/>
      <c r="E1163" s="7"/>
      <c r="F1163" s="7"/>
      <c r="G1163" s="7"/>
      <c r="H1163" s="15"/>
      <c r="I1163" s="16"/>
      <c r="J1163" s="7"/>
    </row>
    <row r="1164">
      <c r="A1164" s="7"/>
      <c r="B1164" s="7"/>
      <c r="C1164" s="7"/>
      <c r="D1164" s="7"/>
      <c r="E1164" s="7"/>
      <c r="F1164" s="7"/>
      <c r="G1164" s="7"/>
      <c r="H1164" s="15"/>
      <c r="I1164" s="16"/>
      <c r="J1164" s="7"/>
    </row>
    <row r="1165">
      <c r="A1165" s="7"/>
      <c r="B1165" s="7"/>
      <c r="C1165" s="7"/>
      <c r="D1165" s="7"/>
      <c r="E1165" s="7"/>
      <c r="F1165" s="7"/>
      <c r="G1165" s="7"/>
      <c r="H1165" s="15"/>
      <c r="I1165" s="16"/>
      <c r="J1165" s="7"/>
    </row>
    <row r="1166">
      <c r="A1166" s="7"/>
      <c r="B1166" s="7"/>
      <c r="C1166" s="7"/>
      <c r="D1166" s="7"/>
      <c r="E1166" s="7"/>
      <c r="F1166" s="7"/>
      <c r="G1166" s="7"/>
      <c r="H1166" s="15"/>
      <c r="I1166" s="16"/>
      <c r="J1166" s="7"/>
    </row>
    <row r="1167">
      <c r="A1167" s="7"/>
      <c r="B1167" s="7"/>
      <c r="C1167" s="7"/>
      <c r="D1167" s="7"/>
      <c r="E1167" s="7"/>
      <c r="F1167" s="7"/>
      <c r="G1167" s="7"/>
      <c r="H1167" s="15"/>
      <c r="I1167" s="16"/>
      <c r="J1167" s="7"/>
    </row>
    <row r="1168">
      <c r="A1168" s="7"/>
      <c r="B1168" s="7"/>
      <c r="C1168" s="7"/>
      <c r="D1168" s="7"/>
      <c r="E1168" s="7"/>
      <c r="F1168" s="7"/>
      <c r="G1168" s="7"/>
      <c r="H1168" s="15"/>
      <c r="I1168" s="16"/>
      <c r="J1168" s="7"/>
    </row>
    <row r="1169">
      <c r="A1169" s="7"/>
      <c r="B1169" s="7"/>
      <c r="C1169" s="7"/>
      <c r="D1169" s="7"/>
      <c r="E1169" s="7"/>
      <c r="F1169" s="7"/>
      <c r="G1169" s="7"/>
      <c r="H1169" s="15"/>
      <c r="I1169" s="16"/>
      <c r="J1169" s="7"/>
    </row>
    <row r="1170">
      <c r="A1170" s="7"/>
      <c r="B1170" s="7"/>
      <c r="C1170" s="7"/>
      <c r="D1170" s="7"/>
      <c r="E1170" s="7"/>
      <c r="F1170" s="7"/>
      <c r="G1170" s="7"/>
      <c r="H1170" s="15"/>
      <c r="I1170" s="16"/>
      <c r="J1170" s="7"/>
    </row>
    <row r="1171">
      <c r="A1171" s="7"/>
      <c r="B1171" s="7"/>
      <c r="C1171" s="7"/>
      <c r="D1171" s="7"/>
      <c r="E1171" s="7"/>
      <c r="F1171" s="7"/>
      <c r="G1171" s="7"/>
      <c r="H1171" s="15"/>
      <c r="I1171" s="16"/>
      <c r="J1171" s="7"/>
    </row>
    <row r="1172">
      <c r="A1172" s="7"/>
      <c r="B1172" s="7"/>
      <c r="C1172" s="7"/>
      <c r="D1172" s="7"/>
      <c r="E1172" s="7"/>
      <c r="F1172" s="7"/>
      <c r="G1172" s="7"/>
      <c r="H1172" s="15"/>
      <c r="I1172" s="16"/>
      <c r="J1172" s="7"/>
    </row>
    <row r="1173">
      <c r="A1173" s="7"/>
      <c r="B1173" s="7"/>
      <c r="C1173" s="7"/>
      <c r="D1173" s="7"/>
      <c r="E1173" s="7"/>
      <c r="F1173" s="7"/>
      <c r="G1173" s="7"/>
      <c r="H1173" s="15"/>
      <c r="I1173" s="16"/>
      <c r="J1173" s="7"/>
    </row>
    <row r="1174">
      <c r="A1174" s="7"/>
      <c r="B1174" s="7"/>
      <c r="C1174" s="7"/>
      <c r="D1174" s="7"/>
      <c r="E1174" s="7"/>
      <c r="F1174" s="7"/>
      <c r="G1174" s="7"/>
      <c r="H1174" s="15"/>
      <c r="I1174" s="16"/>
      <c r="J1174" s="7"/>
    </row>
    <row r="1175">
      <c r="A1175" s="7"/>
      <c r="B1175" s="7"/>
      <c r="C1175" s="7"/>
      <c r="D1175" s="7"/>
      <c r="E1175" s="7"/>
      <c r="F1175" s="7"/>
      <c r="G1175" s="7"/>
      <c r="H1175" s="15"/>
      <c r="I1175" s="16"/>
      <c r="J1175" s="7"/>
    </row>
    <row r="1176">
      <c r="A1176" s="7"/>
      <c r="B1176" s="7"/>
      <c r="C1176" s="7"/>
      <c r="D1176" s="7"/>
      <c r="E1176" s="7"/>
      <c r="F1176" s="7"/>
      <c r="G1176" s="7"/>
      <c r="H1176" s="15"/>
      <c r="I1176" s="16"/>
      <c r="J1176" s="7"/>
    </row>
    <row r="1177">
      <c r="A1177" s="7"/>
      <c r="B1177" s="7"/>
      <c r="C1177" s="7"/>
      <c r="D1177" s="7"/>
      <c r="E1177" s="7"/>
      <c r="F1177" s="7"/>
      <c r="G1177" s="7"/>
      <c r="H1177" s="15"/>
      <c r="I1177" s="16"/>
      <c r="J1177" s="7"/>
    </row>
    <row r="1178">
      <c r="A1178" s="7"/>
      <c r="B1178" s="7"/>
      <c r="C1178" s="7"/>
      <c r="D1178" s="7"/>
      <c r="E1178" s="7"/>
      <c r="F1178" s="7"/>
      <c r="G1178" s="7"/>
      <c r="H1178" s="15"/>
      <c r="I1178" s="16"/>
      <c r="J1178" s="7"/>
    </row>
    <row r="1179">
      <c r="A1179" s="7"/>
      <c r="B1179" s="7"/>
      <c r="C1179" s="7"/>
      <c r="D1179" s="7"/>
      <c r="E1179" s="7"/>
      <c r="F1179" s="7"/>
      <c r="G1179" s="7"/>
      <c r="H1179" s="15"/>
      <c r="I1179" s="16"/>
      <c r="J1179" s="7"/>
    </row>
    <row r="1180">
      <c r="A1180" s="7"/>
      <c r="B1180" s="7"/>
      <c r="C1180" s="7"/>
      <c r="D1180" s="7"/>
      <c r="E1180" s="7"/>
      <c r="F1180" s="7"/>
      <c r="G1180" s="7"/>
      <c r="H1180" s="15"/>
      <c r="I1180" s="16"/>
      <c r="J1180" s="7"/>
    </row>
    <row r="1181">
      <c r="A1181" s="7"/>
      <c r="B1181" s="7"/>
      <c r="C1181" s="7"/>
      <c r="D1181" s="7"/>
      <c r="E1181" s="7"/>
      <c r="F1181" s="7"/>
      <c r="G1181" s="7"/>
      <c r="H1181" s="15"/>
      <c r="I1181" s="16"/>
      <c r="J1181" s="7"/>
    </row>
    <row r="1182">
      <c r="A1182" s="7"/>
      <c r="B1182" s="7"/>
      <c r="C1182" s="7"/>
      <c r="D1182" s="7"/>
      <c r="E1182" s="7"/>
      <c r="F1182" s="7"/>
      <c r="G1182" s="7"/>
      <c r="H1182" s="15"/>
      <c r="I1182" s="16"/>
      <c r="J1182" s="7"/>
    </row>
    <row r="1183">
      <c r="A1183" s="7"/>
      <c r="B1183" s="7"/>
      <c r="C1183" s="7"/>
      <c r="D1183" s="7"/>
      <c r="E1183" s="7"/>
      <c r="F1183" s="7"/>
      <c r="G1183" s="7"/>
      <c r="H1183" s="15"/>
      <c r="I1183" s="16"/>
      <c r="J1183" s="7"/>
    </row>
    <row r="1184">
      <c r="A1184" s="7"/>
      <c r="B1184" s="7"/>
      <c r="C1184" s="7"/>
      <c r="D1184" s="7"/>
      <c r="E1184" s="7"/>
      <c r="F1184" s="7"/>
      <c r="G1184" s="7"/>
      <c r="H1184" s="15"/>
      <c r="I1184" s="16"/>
      <c r="J1184" s="7"/>
    </row>
    <row r="1185">
      <c r="A1185" s="7"/>
      <c r="B1185" s="7"/>
      <c r="C1185" s="7"/>
      <c r="D1185" s="7"/>
      <c r="E1185" s="7"/>
      <c r="F1185" s="7"/>
      <c r="G1185" s="7"/>
      <c r="H1185" s="15"/>
      <c r="I1185" s="16"/>
      <c r="J1185" s="7"/>
    </row>
    <row r="1186">
      <c r="A1186" s="7"/>
      <c r="B1186" s="7"/>
      <c r="C1186" s="7"/>
      <c r="D1186" s="7"/>
      <c r="E1186" s="7"/>
      <c r="F1186" s="7"/>
      <c r="G1186" s="7"/>
      <c r="H1186" s="15"/>
      <c r="I1186" s="16"/>
      <c r="J1186" s="7"/>
    </row>
    <row r="1187">
      <c r="A1187" s="7"/>
      <c r="B1187" s="7"/>
      <c r="C1187" s="7"/>
      <c r="D1187" s="7"/>
      <c r="E1187" s="7"/>
      <c r="F1187" s="7"/>
      <c r="G1187" s="7"/>
      <c r="H1187" s="15"/>
      <c r="I1187" s="16"/>
      <c r="J1187" s="7"/>
    </row>
    <row r="1188">
      <c r="A1188" s="7"/>
      <c r="B1188" s="7"/>
      <c r="C1188" s="7"/>
      <c r="D1188" s="7"/>
      <c r="E1188" s="7"/>
      <c r="F1188" s="7"/>
      <c r="G1188" s="7"/>
      <c r="H1188" s="15"/>
      <c r="I1188" s="16"/>
      <c r="J1188" s="7"/>
    </row>
    <row r="1189">
      <c r="A1189" s="7"/>
      <c r="B1189" s="7"/>
      <c r="C1189" s="7"/>
      <c r="D1189" s="7"/>
      <c r="E1189" s="7"/>
      <c r="F1189" s="7"/>
      <c r="G1189" s="7"/>
      <c r="H1189" s="15"/>
      <c r="I1189" s="16"/>
      <c r="J1189" s="7"/>
    </row>
    <row r="1190">
      <c r="A1190" s="7"/>
      <c r="B1190" s="7"/>
      <c r="C1190" s="7"/>
      <c r="D1190" s="7"/>
      <c r="E1190" s="7"/>
      <c r="F1190" s="7"/>
      <c r="G1190" s="7"/>
      <c r="H1190" s="15"/>
      <c r="I1190" s="16"/>
      <c r="J1190" s="7"/>
    </row>
    <row r="1191">
      <c r="A1191" s="7"/>
      <c r="B1191" s="7"/>
      <c r="C1191" s="7"/>
      <c r="D1191" s="7"/>
      <c r="E1191" s="7"/>
      <c r="F1191" s="7"/>
      <c r="G1191" s="7"/>
      <c r="H1191" s="15"/>
      <c r="I1191" s="16"/>
      <c r="J1191" s="7"/>
    </row>
    <row r="1192">
      <c r="A1192" s="7"/>
      <c r="B1192" s="7"/>
      <c r="C1192" s="7"/>
      <c r="D1192" s="7"/>
      <c r="E1192" s="7"/>
      <c r="F1192" s="7"/>
      <c r="G1192" s="7"/>
      <c r="H1192" s="15"/>
      <c r="I1192" s="16"/>
      <c r="J1192" s="7"/>
    </row>
    <row r="1193">
      <c r="A1193" s="7"/>
      <c r="B1193" s="7"/>
      <c r="C1193" s="7"/>
      <c r="D1193" s="7"/>
      <c r="E1193" s="7"/>
      <c r="F1193" s="7"/>
      <c r="G1193" s="7"/>
      <c r="H1193" s="15"/>
      <c r="I1193" s="16"/>
      <c r="J1193" s="7"/>
    </row>
    <row r="1194">
      <c r="A1194" s="7"/>
      <c r="B1194" s="7"/>
      <c r="C1194" s="7"/>
      <c r="D1194" s="7"/>
      <c r="E1194" s="7"/>
      <c r="F1194" s="7"/>
      <c r="G1194" s="7"/>
      <c r="H1194" s="15"/>
      <c r="I1194" s="16"/>
      <c r="J1194" s="7"/>
    </row>
    <row r="1195">
      <c r="A1195" s="7"/>
      <c r="B1195" s="7"/>
      <c r="C1195" s="7"/>
      <c r="D1195" s="7"/>
      <c r="E1195" s="7"/>
      <c r="F1195" s="7"/>
      <c r="G1195" s="7"/>
      <c r="H1195" s="15"/>
      <c r="I1195" s="16"/>
      <c r="J1195" s="7"/>
    </row>
    <row r="1196">
      <c r="A1196" s="7"/>
      <c r="B1196" s="7"/>
      <c r="C1196" s="7"/>
      <c r="D1196" s="7"/>
      <c r="E1196" s="7"/>
      <c r="F1196" s="7"/>
      <c r="G1196" s="7"/>
      <c r="H1196" s="15"/>
      <c r="I1196" s="16"/>
      <c r="J1196" s="7"/>
    </row>
    <row r="1197">
      <c r="A1197" s="7"/>
      <c r="B1197" s="7"/>
      <c r="C1197" s="7"/>
      <c r="D1197" s="7"/>
      <c r="E1197" s="7"/>
      <c r="F1197" s="7"/>
      <c r="G1197" s="7"/>
      <c r="H1197" s="15"/>
      <c r="I1197" s="16"/>
      <c r="J1197" s="7"/>
    </row>
    <row r="1198">
      <c r="A1198" s="7"/>
      <c r="B1198" s="7"/>
      <c r="C1198" s="7"/>
      <c r="D1198" s="7"/>
      <c r="E1198" s="7"/>
      <c r="F1198" s="7"/>
      <c r="G1198" s="7"/>
      <c r="H1198" s="15"/>
      <c r="I1198" s="16"/>
      <c r="J1198" s="7"/>
    </row>
    <row r="1199">
      <c r="A1199" s="7"/>
      <c r="B1199" s="7"/>
      <c r="C1199" s="7"/>
      <c r="D1199" s="7"/>
      <c r="E1199" s="7"/>
      <c r="F1199" s="7"/>
      <c r="G1199" s="7"/>
      <c r="H1199" s="15"/>
      <c r="I1199" s="16"/>
      <c r="J1199" s="7"/>
    </row>
    <row r="1200">
      <c r="A1200" s="7"/>
      <c r="B1200" s="7"/>
      <c r="C1200" s="7"/>
      <c r="D1200" s="7"/>
      <c r="E1200" s="7"/>
      <c r="F1200" s="7"/>
      <c r="G1200" s="7"/>
      <c r="H1200" s="15"/>
      <c r="I1200" s="16"/>
      <c r="J1200" s="7"/>
    </row>
    <row r="1201">
      <c r="A1201" s="7"/>
      <c r="B1201" s="7"/>
      <c r="C1201" s="7"/>
      <c r="D1201" s="7"/>
      <c r="E1201" s="7"/>
      <c r="F1201" s="7"/>
      <c r="G1201" s="7"/>
      <c r="H1201" s="15"/>
      <c r="I1201" s="16"/>
      <c r="J1201" s="7"/>
    </row>
    <row r="1202">
      <c r="A1202" s="7"/>
      <c r="B1202" s="7"/>
      <c r="C1202" s="7"/>
      <c r="D1202" s="7"/>
      <c r="E1202" s="7"/>
      <c r="F1202" s="7"/>
      <c r="G1202" s="7"/>
      <c r="H1202" s="15"/>
      <c r="I1202" s="16"/>
      <c r="J1202" s="7"/>
    </row>
    <row r="1203">
      <c r="A1203" s="7"/>
      <c r="B1203" s="7"/>
      <c r="C1203" s="7"/>
      <c r="D1203" s="7"/>
      <c r="E1203" s="7"/>
      <c r="F1203" s="7"/>
      <c r="G1203" s="7"/>
      <c r="H1203" s="15"/>
      <c r="I1203" s="16"/>
      <c r="J1203" s="7"/>
    </row>
    <row r="1204">
      <c r="A1204" s="7"/>
      <c r="B1204" s="7"/>
      <c r="C1204" s="7"/>
      <c r="D1204" s="7"/>
      <c r="E1204" s="7"/>
      <c r="F1204" s="7"/>
      <c r="G1204" s="7"/>
      <c r="H1204" s="15"/>
      <c r="I1204" s="16"/>
      <c r="J1204" s="7"/>
    </row>
    <row r="1205">
      <c r="A1205" s="7"/>
      <c r="B1205" s="7"/>
      <c r="C1205" s="7"/>
      <c r="D1205" s="7"/>
      <c r="E1205" s="7"/>
      <c r="F1205" s="7"/>
      <c r="G1205" s="7"/>
      <c r="H1205" s="15"/>
      <c r="I1205" s="16"/>
      <c r="J1205" s="7"/>
    </row>
    <row r="1206">
      <c r="A1206" s="7"/>
      <c r="B1206" s="7"/>
      <c r="C1206" s="7"/>
      <c r="D1206" s="7"/>
      <c r="E1206" s="7"/>
      <c r="F1206" s="7"/>
      <c r="G1206" s="7"/>
      <c r="H1206" s="15"/>
      <c r="I1206" s="16"/>
      <c r="J1206" s="7"/>
    </row>
    <row r="1207">
      <c r="A1207" s="7"/>
      <c r="B1207" s="7"/>
      <c r="C1207" s="7"/>
      <c r="D1207" s="7"/>
      <c r="E1207" s="7"/>
      <c r="F1207" s="7"/>
      <c r="G1207" s="7"/>
      <c r="H1207" s="15"/>
      <c r="I1207" s="16"/>
      <c r="J1207" s="7"/>
    </row>
    <row r="1208">
      <c r="A1208" s="7"/>
      <c r="B1208" s="7"/>
      <c r="C1208" s="7"/>
      <c r="D1208" s="7"/>
      <c r="E1208" s="7"/>
      <c r="F1208" s="7"/>
      <c r="G1208" s="7"/>
      <c r="H1208" s="15"/>
      <c r="I1208" s="16"/>
      <c r="J1208" s="7"/>
    </row>
    <row r="1209">
      <c r="A1209" s="7"/>
      <c r="B1209" s="7"/>
      <c r="C1209" s="7"/>
      <c r="D1209" s="7"/>
      <c r="E1209" s="7"/>
      <c r="F1209" s="7"/>
      <c r="G1209" s="7"/>
      <c r="H1209" s="15"/>
      <c r="I1209" s="16"/>
      <c r="J1209" s="7"/>
    </row>
    <row r="1210">
      <c r="A1210" s="7"/>
      <c r="B1210" s="7"/>
      <c r="C1210" s="7"/>
      <c r="D1210" s="7"/>
      <c r="E1210" s="7"/>
      <c r="F1210" s="7"/>
      <c r="G1210" s="7"/>
      <c r="H1210" s="15"/>
      <c r="I1210" s="16"/>
      <c r="J1210" s="7"/>
    </row>
    <row r="1211">
      <c r="A1211" s="7"/>
      <c r="B1211" s="7"/>
      <c r="C1211" s="7"/>
      <c r="D1211" s="7"/>
      <c r="E1211" s="7"/>
      <c r="F1211" s="7"/>
      <c r="G1211" s="7"/>
      <c r="H1211" s="15"/>
      <c r="I1211" s="16"/>
      <c r="J1211" s="7"/>
    </row>
    <row r="1212">
      <c r="A1212" s="7"/>
      <c r="B1212" s="7"/>
      <c r="C1212" s="7"/>
      <c r="D1212" s="7"/>
      <c r="E1212" s="7"/>
      <c r="F1212" s="7"/>
      <c r="G1212" s="7"/>
      <c r="H1212" s="15"/>
      <c r="I1212" s="16"/>
      <c r="J1212" s="7"/>
    </row>
    <row r="1213">
      <c r="A1213" s="7"/>
      <c r="B1213" s="7"/>
      <c r="C1213" s="7"/>
      <c r="D1213" s="7"/>
      <c r="E1213" s="7"/>
      <c r="F1213" s="7"/>
      <c r="G1213" s="7"/>
      <c r="H1213" s="15"/>
      <c r="I1213" s="16"/>
      <c r="J1213" s="7"/>
    </row>
    <row r="1214">
      <c r="A1214" s="7"/>
      <c r="B1214" s="7"/>
      <c r="C1214" s="7"/>
      <c r="D1214" s="7"/>
      <c r="E1214" s="7"/>
      <c r="F1214" s="7"/>
      <c r="G1214" s="7"/>
      <c r="H1214" s="15"/>
      <c r="I1214" s="16"/>
      <c r="J1214" s="7"/>
    </row>
    <row r="1215">
      <c r="A1215" s="7"/>
      <c r="B1215" s="7"/>
      <c r="C1215" s="7"/>
      <c r="D1215" s="7"/>
      <c r="E1215" s="7"/>
      <c r="F1215" s="7"/>
      <c r="G1215" s="7"/>
      <c r="H1215" s="15"/>
      <c r="I1215" s="16"/>
      <c r="J1215" s="7"/>
    </row>
    <row r="1216">
      <c r="A1216" s="7"/>
      <c r="B1216" s="7"/>
      <c r="C1216" s="7"/>
      <c r="D1216" s="7"/>
      <c r="E1216" s="7"/>
      <c r="F1216" s="7"/>
      <c r="G1216" s="7"/>
      <c r="H1216" s="15"/>
      <c r="I1216" s="16"/>
      <c r="J1216" s="7"/>
    </row>
    <row r="1217">
      <c r="A1217" s="7"/>
      <c r="B1217" s="7"/>
      <c r="C1217" s="7"/>
      <c r="D1217" s="7"/>
      <c r="E1217" s="7"/>
      <c r="F1217" s="7"/>
      <c r="G1217" s="7"/>
      <c r="H1217" s="15"/>
      <c r="I1217" s="16"/>
      <c r="J1217" s="7"/>
    </row>
    <row r="1218">
      <c r="A1218" s="7"/>
      <c r="B1218" s="7"/>
      <c r="C1218" s="7"/>
      <c r="D1218" s="7"/>
      <c r="E1218" s="7"/>
      <c r="F1218" s="7"/>
      <c r="G1218" s="7"/>
      <c r="H1218" s="15"/>
      <c r="I1218" s="16"/>
      <c r="J1218" s="7"/>
    </row>
    <row r="1219">
      <c r="A1219" s="7"/>
      <c r="B1219" s="7"/>
      <c r="C1219" s="7"/>
      <c r="D1219" s="7"/>
      <c r="E1219" s="7"/>
      <c r="F1219" s="7"/>
      <c r="G1219" s="7"/>
      <c r="H1219" s="15"/>
      <c r="I1219" s="16"/>
      <c r="J1219" s="7"/>
    </row>
    <row r="1220">
      <c r="A1220" s="7"/>
      <c r="B1220" s="7"/>
      <c r="C1220" s="7"/>
      <c r="D1220" s="7"/>
      <c r="E1220" s="7"/>
      <c r="F1220" s="7"/>
      <c r="G1220" s="7"/>
      <c r="H1220" s="15"/>
      <c r="I1220" s="16"/>
      <c r="J1220" s="7"/>
    </row>
    <row r="1221">
      <c r="A1221" s="7"/>
      <c r="B1221" s="7"/>
      <c r="C1221" s="7"/>
      <c r="D1221" s="7"/>
      <c r="E1221" s="7"/>
      <c r="F1221" s="7"/>
      <c r="G1221" s="7"/>
      <c r="H1221" s="15"/>
      <c r="I1221" s="16"/>
      <c r="J1221" s="7"/>
    </row>
    <row r="1222">
      <c r="A1222" s="7"/>
      <c r="B1222" s="7"/>
      <c r="C1222" s="7"/>
      <c r="D1222" s="7"/>
      <c r="E1222" s="7"/>
      <c r="F1222" s="7"/>
      <c r="G1222" s="7"/>
      <c r="H1222" s="15"/>
      <c r="I1222" s="16"/>
      <c r="J1222" s="7"/>
    </row>
    <row r="1223">
      <c r="A1223" s="7"/>
      <c r="B1223" s="7"/>
      <c r="C1223" s="7"/>
      <c r="D1223" s="7"/>
      <c r="E1223" s="7"/>
      <c r="F1223" s="7"/>
      <c r="G1223" s="7"/>
      <c r="H1223" s="15"/>
      <c r="I1223" s="16"/>
      <c r="J1223" s="7"/>
    </row>
    <row r="1224">
      <c r="A1224" s="7"/>
      <c r="B1224" s="7"/>
      <c r="C1224" s="7"/>
      <c r="D1224" s="7"/>
      <c r="E1224" s="7"/>
      <c r="F1224" s="7"/>
      <c r="G1224" s="7"/>
      <c r="H1224" s="15"/>
      <c r="I1224" s="16"/>
      <c r="J1224" s="7"/>
    </row>
    <row r="1225">
      <c r="A1225" s="7"/>
      <c r="B1225" s="7"/>
      <c r="C1225" s="7"/>
      <c r="D1225" s="7"/>
      <c r="E1225" s="7"/>
      <c r="F1225" s="7"/>
      <c r="G1225" s="7"/>
      <c r="H1225" s="15"/>
      <c r="I1225" s="16"/>
      <c r="J1225" s="7"/>
    </row>
    <row r="1226">
      <c r="A1226" s="7"/>
      <c r="B1226" s="7"/>
      <c r="C1226" s="7"/>
      <c r="D1226" s="7"/>
      <c r="E1226" s="7"/>
      <c r="F1226" s="7"/>
      <c r="G1226" s="7"/>
      <c r="H1226" s="15"/>
      <c r="I1226" s="16"/>
      <c r="J1226" s="7"/>
    </row>
    <row r="1227">
      <c r="A1227" s="7"/>
      <c r="B1227" s="7"/>
      <c r="C1227" s="7"/>
      <c r="D1227" s="7"/>
      <c r="E1227" s="7"/>
      <c r="F1227" s="7"/>
      <c r="G1227" s="7"/>
      <c r="H1227" s="15"/>
      <c r="I1227" s="16"/>
      <c r="J1227" s="7"/>
    </row>
    <row r="1228">
      <c r="A1228" s="7"/>
      <c r="B1228" s="7"/>
      <c r="C1228" s="7"/>
      <c r="D1228" s="7"/>
      <c r="E1228" s="7"/>
      <c r="F1228" s="7"/>
      <c r="G1228" s="7"/>
      <c r="H1228" s="15"/>
      <c r="I1228" s="16"/>
      <c r="J1228" s="7"/>
    </row>
    <row r="1229">
      <c r="A1229" s="7"/>
      <c r="B1229" s="7"/>
      <c r="C1229" s="7"/>
      <c r="D1229" s="7"/>
      <c r="E1229" s="7"/>
      <c r="F1229" s="7"/>
      <c r="G1229" s="7"/>
      <c r="H1229" s="15"/>
      <c r="I1229" s="16"/>
      <c r="J1229" s="7"/>
    </row>
    <row r="1230">
      <c r="A1230" s="7"/>
      <c r="B1230" s="7"/>
      <c r="C1230" s="7"/>
      <c r="D1230" s="7"/>
      <c r="E1230" s="7"/>
      <c r="F1230" s="7"/>
      <c r="G1230" s="7"/>
      <c r="H1230" s="15"/>
      <c r="I1230" s="16"/>
      <c r="J1230" s="7"/>
    </row>
    <row r="1231">
      <c r="A1231" s="7"/>
      <c r="B1231" s="7"/>
      <c r="C1231" s="7"/>
      <c r="D1231" s="7"/>
      <c r="E1231" s="7"/>
      <c r="F1231" s="7"/>
      <c r="G1231" s="7"/>
      <c r="H1231" s="15"/>
      <c r="I1231" s="16"/>
      <c r="J1231" s="7"/>
    </row>
    <row r="1232">
      <c r="A1232" s="7"/>
      <c r="B1232" s="7"/>
      <c r="C1232" s="7"/>
      <c r="D1232" s="7"/>
      <c r="E1232" s="7"/>
      <c r="F1232" s="7"/>
      <c r="G1232" s="7"/>
      <c r="H1232" s="15"/>
      <c r="I1232" s="16"/>
      <c r="J1232" s="7"/>
    </row>
    <row r="1233">
      <c r="A1233" s="7"/>
      <c r="B1233" s="7"/>
      <c r="C1233" s="7"/>
      <c r="D1233" s="7"/>
      <c r="E1233" s="7"/>
      <c r="F1233" s="7"/>
      <c r="G1233" s="7"/>
      <c r="H1233" s="15"/>
      <c r="I1233" s="16"/>
      <c r="J1233" s="7"/>
    </row>
    <row r="1234">
      <c r="A1234" s="7"/>
      <c r="B1234" s="7"/>
      <c r="C1234" s="7"/>
      <c r="D1234" s="7"/>
      <c r="E1234" s="7"/>
      <c r="F1234" s="7"/>
      <c r="G1234" s="7"/>
      <c r="H1234" s="15"/>
      <c r="I1234" s="16"/>
      <c r="J1234" s="7"/>
    </row>
    <row r="1235">
      <c r="A1235" s="7"/>
      <c r="B1235" s="7"/>
      <c r="C1235" s="7"/>
      <c r="D1235" s="7"/>
      <c r="E1235" s="7"/>
      <c r="F1235" s="7"/>
      <c r="G1235" s="7"/>
      <c r="H1235" s="15"/>
      <c r="I1235" s="16"/>
      <c r="J1235" s="7"/>
    </row>
    <row r="1236">
      <c r="A1236" s="7"/>
      <c r="B1236" s="7"/>
      <c r="C1236" s="7"/>
      <c r="D1236" s="7"/>
      <c r="E1236" s="7"/>
      <c r="F1236" s="7"/>
      <c r="G1236" s="7"/>
      <c r="H1236" s="15"/>
      <c r="I1236" s="16"/>
      <c r="J1236" s="7"/>
    </row>
    <row r="1237">
      <c r="A1237" s="7"/>
      <c r="B1237" s="7"/>
      <c r="C1237" s="7"/>
      <c r="D1237" s="7"/>
      <c r="E1237" s="7"/>
      <c r="F1237" s="7"/>
      <c r="G1237" s="7"/>
      <c r="H1237" s="15"/>
      <c r="I1237" s="16"/>
      <c r="J1237" s="7"/>
    </row>
    <row r="1238">
      <c r="A1238" s="7"/>
      <c r="B1238" s="7"/>
      <c r="C1238" s="7"/>
      <c r="D1238" s="7"/>
      <c r="E1238" s="7"/>
      <c r="F1238" s="7"/>
      <c r="G1238" s="7"/>
      <c r="H1238" s="15"/>
      <c r="I1238" s="16"/>
      <c r="J1238" s="7"/>
    </row>
    <row r="1239">
      <c r="A1239" s="7"/>
      <c r="B1239" s="7"/>
      <c r="C1239" s="7"/>
      <c r="D1239" s="7"/>
      <c r="E1239" s="7"/>
      <c r="F1239" s="7"/>
      <c r="G1239" s="7"/>
      <c r="H1239" s="15"/>
      <c r="I1239" s="16"/>
      <c r="J1239" s="7"/>
    </row>
    <row r="1240">
      <c r="A1240" s="7"/>
      <c r="B1240" s="7"/>
      <c r="C1240" s="7"/>
      <c r="D1240" s="7"/>
      <c r="E1240" s="7"/>
      <c r="F1240" s="7"/>
      <c r="G1240" s="7"/>
      <c r="H1240" s="15"/>
      <c r="I1240" s="16"/>
      <c r="J1240" s="7"/>
    </row>
    <row r="1241">
      <c r="A1241" s="7"/>
      <c r="B1241" s="7"/>
      <c r="C1241" s="7"/>
      <c r="D1241" s="7"/>
      <c r="E1241" s="7"/>
      <c r="F1241" s="7"/>
      <c r="G1241" s="7"/>
      <c r="H1241" s="15"/>
      <c r="I1241" s="16"/>
      <c r="J1241" s="7"/>
    </row>
    <row r="1242">
      <c r="A1242" s="7"/>
      <c r="B1242" s="7"/>
      <c r="C1242" s="7"/>
      <c r="D1242" s="7"/>
      <c r="E1242" s="7"/>
      <c r="F1242" s="7"/>
      <c r="G1242" s="7"/>
      <c r="H1242" s="15"/>
      <c r="I1242" s="16"/>
      <c r="J1242" s="7"/>
    </row>
    <row r="1243">
      <c r="A1243" s="7"/>
      <c r="B1243" s="7"/>
      <c r="C1243" s="7"/>
      <c r="D1243" s="7"/>
      <c r="E1243" s="7"/>
      <c r="F1243" s="7"/>
      <c r="G1243" s="7"/>
      <c r="H1243" s="15"/>
      <c r="I1243" s="16"/>
      <c r="J1243" s="7"/>
    </row>
    <row r="1244">
      <c r="A1244" s="7"/>
      <c r="B1244" s="7"/>
      <c r="C1244" s="7"/>
      <c r="D1244" s="7"/>
      <c r="E1244" s="7"/>
      <c r="F1244" s="7"/>
      <c r="G1244" s="7"/>
      <c r="H1244" s="15"/>
      <c r="I1244" s="16"/>
      <c r="J1244" s="7"/>
    </row>
    <row r="1245">
      <c r="A1245" s="7"/>
      <c r="B1245" s="7"/>
      <c r="C1245" s="7"/>
      <c r="D1245" s="7"/>
      <c r="E1245" s="7"/>
      <c r="F1245" s="7"/>
      <c r="G1245" s="7"/>
      <c r="H1245" s="15"/>
      <c r="I1245" s="16"/>
      <c r="J1245" s="7"/>
    </row>
    <row r="1246">
      <c r="A1246" s="7"/>
      <c r="B1246" s="7"/>
      <c r="C1246" s="7"/>
      <c r="D1246" s="7"/>
      <c r="E1246" s="7"/>
      <c r="F1246" s="7"/>
      <c r="G1246" s="7"/>
      <c r="H1246" s="15"/>
      <c r="I1246" s="16"/>
      <c r="J1246" s="7"/>
    </row>
    <row r="1247">
      <c r="A1247" s="7"/>
      <c r="B1247" s="7"/>
      <c r="C1247" s="7"/>
      <c r="D1247" s="7"/>
      <c r="E1247" s="7"/>
      <c r="F1247" s="7"/>
      <c r="G1247" s="7"/>
      <c r="H1247" s="15"/>
      <c r="I1247" s="16"/>
      <c r="J1247" s="7"/>
    </row>
    <row r="1248">
      <c r="A1248" s="7"/>
      <c r="B1248" s="7"/>
      <c r="C1248" s="7"/>
      <c r="D1248" s="7"/>
      <c r="E1248" s="7"/>
      <c r="F1248" s="7"/>
      <c r="G1248" s="7"/>
      <c r="H1248" s="15"/>
      <c r="I1248" s="16"/>
      <c r="J1248" s="7"/>
    </row>
    <row r="1249">
      <c r="A1249" s="7"/>
      <c r="B1249" s="7"/>
      <c r="C1249" s="7"/>
      <c r="D1249" s="7"/>
      <c r="E1249" s="7"/>
      <c r="F1249" s="7"/>
      <c r="G1249" s="7"/>
      <c r="H1249" s="15"/>
      <c r="I1249" s="16"/>
      <c r="J1249" s="7"/>
    </row>
    <row r="1250">
      <c r="A1250" s="7"/>
      <c r="B1250" s="7"/>
      <c r="C1250" s="7"/>
      <c r="D1250" s="7"/>
      <c r="E1250" s="7"/>
      <c r="F1250" s="7"/>
      <c r="G1250" s="7"/>
      <c r="H1250" s="15"/>
      <c r="I1250" s="16"/>
      <c r="J1250" s="7"/>
    </row>
    <row r="1251">
      <c r="A1251" s="7"/>
      <c r="B1251" s="7"/>
      <c r="C1251" s="7"/>
      <c r="D1251" s="7"/>
      <c r="E1251" s="7"/>
      <c r="F1251" s="7"/>
      <c r="G1251" s="7"/>
      <c r="H1251" s="15"/>
      <c r="I1251" s="16"/>
      <c r="J1251" s="7"/>
    </row>
    <row r="1252">
      <c r="A1252" s="7"/>
      <c r="B1252" s="7"/>
      <c r="C1252" s="7"/>
      <c r="D1252" s="7"/>
      <c r="E1252" s="7"/>
      <c r="F1252" s="7"/>
      <c r="G1252" s="7"/>
      <c r="H1252" s="15"/>
      <c r="I1252" s="16"/>
      <c r="J1252" s="7"/>
    </row>
    <row r="1253">
      <c r="A1253" s="7"/>
      <c r="B1253" s="7"/>
      <c r="C1253" s="7"/>
      <c r="D1253" s="7"/>
      <c r="E1253" s="7"/>
      <c r="F1253" s="7"/>
      <c r="G1253" s="7"/>
      <c r="H1253" s="15"/>
      <c r="I1253" s="16"/>
      <c r="J1253" s="7"/>
    </row>
    <row r="1254">
      <c r="A1254" s="7"/>
      <c r="B1254" s="7"/>
      <c r="C1254" s="7"/>
      <c r="D1254" s="7"/>
      <c r="E1254" s="7"/>
      <c r="F1254" s="7"/>
      <c r="G1254" s="7"/>
      <c r="H1254" s="15"/>
      <c r="I1254" s="16"/>
      <c r="J1254" s="7"/>
    </row>
    <row r="1255">
      <c r="A1255" s="7"/>
      <c r="B1255" s="7"/>
      <c r="C1255" s="7"/>
      <c r="D1255" s="7"/>
      <c r="E1255" s="7"/>
      <c r="F1255" s="7"/>
      <c r="G1255" s="7"/>
      <c r="H1255" s="15"/>
      <c r="I1255" s="16"/>
      <c r="J1255" s="7"/>
    </row>
    <row r="1256">
      <c r="A1256" s="7"/>
      <c r="B1256" s="7"/>
      <c r="C1256" s="7"/>
      <c r="D1256" s="7"/>
      <c r="E1256" s="7"/>
      <c r="F1256" s="7"/>
      <c r="G1256" s="7"/>
      <c r="H1256" s="15"/>
      <c r="I1256" s="16"/>
      <c r="J1256" s="7"/>
    </row>
    <row r="1257">
      <c r="A1257" s="7"/>
      <c r="B1257" s="7"/>
      <c r="C1257" s="7"/>
      <c r="D1257" s="7"/>
      <c r="E1257" s="7"/>
      <c r="F1257" s="7"/>
      <c r="G1257" s="7"/>
      <c r="H1257" s="15"/>
      <c r="I1257" s="16"/>
      <c r="J1257" s="7"/>
    </row>
    <row r="1258">
      <c r="A1258" s="7"/>
      <c r="B1258" s="7"/>
      <c r="C1258" s="7"/>
      <c r="D1258" s="7"/>
      <c r="E1258" s="7"/>
      <c r="F1258" s="7"/>
      <c r="G1258" s="7"/>
      <c r="H1258" s="15"/>
      <c r="I1258" s="16"/>
      <c r="J1258" s="7"/>
    </row>
    <row r="1259">
      <c r="A1259" s="7"/>
      <c r="B1259" s="7"/>
      <c r="C1259" s="7"/>
      <c r="D1259" s="7"/>
      <c r="E1259" s="7"/>
      <c r="F1259" s="7"/>
      <c r="G1259" s="7"/>
      <c r="H1259" s="15"/>
      <c r="I1259" s="16"/>
      <c r="J1259" s="7"/>
    </row>
    <row r="1260">
      <c r="A1260" s="7"/>
      <c r="B1260" s="7"/>
      <c r="C1260" s="7"/>
      <c r="D1260" s="7"/>
      <c r="E1260" s="7"/>
      <c r="F1260" s="7"/>
      <c r="G1260" s="7"/>
      <c r="H1260" s="15"/>
      <c r="I1260" s="16"/>
      <c r="J1260" s="7"/>
    </row>
    <row r="1261">
      <c r="A1261" s="7"/>
      <c r="B1261" s="7"/>
      <c r="C1261" s="7"/>
      <c r="D1261" s="7"/>
      <c r="E1261" s="7"/>
      <c r="F1261" s="7"/>
      <c r="G1261" s="7"/>
      <c r="H1261" s="15"/>
      <c r="I1261" s="16"/>
      <c r="J1261" s="7"/>
    </row>
    <row r="1262">
      <c r="A1262" s="7"/>
      <c r="B1262" s="7"/>
      <c r="C1262" s="7"/>
      <c r="D1262" s="7"/>
      <c r="E1262" s="7"/>
      <c r="F1262" s="7"/>
      <c r="G1262" s="7"/>
      <c r="H1262" s="15"/>
      <c r="I1262" s="16"/>
      <c r="J1262" s="7"/>
    </row>
    <row r="1263">
      <c r="A1263" s="7"/>
      <c r="B1263" s="7"/>
      <c r="C1263" s="7"/>
      <c r="D1263" s="7"/>
      <c r="E1263" s="7"/>
      <c r="F1263" s="7"/>
      <c r="G1263" s="7"/>
      <c r="H1263" s="15"/>
      <c r="I1263" s="16"/>
      <c r="J1263" s="7"/>
    </row>
    <row r="1264">
      <c r="A1264" s="7"/>
      <c r="B1264" s="7"/>
      <c r="C1264" s="7"/>
      <c r="D1264" s="7"/>
      <c r="E1264" s="7"/>
      <c r="F1264" s="7"/>
      <c r="G1264" s="7"/>
      <c r="H1264" s="15"/>
      <c r="I1264" s="16"/>
      <c r="J1264" s="7"/>
    </row>
    <row r="1265">
      <c r="A1265" s="7"/>
      <c r="B1265" s="7"/>
      <c r="C1265" s="7"/>
      <c r="D1265" s="7"/>
      <c r="E1265" s="7"/>
      <c r="F1265" s="7"/>
      <c r="G1265" s="7"/>
      <c r="H1265" s="15"/>
      <c r="I1265" s="16"/>
      <c r="J1265" s="7"/>
    </row>
    <row r="1266">
      <c r="A1266" s="7"/>
      <c r="B1266" s="7"/>
      <c r="C1266" s="7"/>
      <c r="D1266" s="7"/>
      <c r="E1266" s="7"/>
      <c r="F1266" s="7"/>
      <c r="G1266" s="7"/>
      <c r="H1266" s="15"/>
      <c r="I1266" s="16"/>
      <c r="J1266" s="7"/>
    </row>
    <row r="1267">
      <c r="A1267" s="7"/>
      <c r="B1267" s="7"/>
      <c r="C1267" s="7"/>
      <c r="D1267" s="7"/>
      <c r="E1267" s="7"/>
      <c r="F1267" s="7"/>
      <c r="G1267" s="7"/>
      <c r="H1267" s="15"/>
      <c r="I1267" s="16"/>
      <c r="J1267" s="7"/>
    </row>
    <row r="1268">
      <c r="A1268" s="7"/>
      <c r="B1268" s="7"/>
      <c r="C1268" s="7"/>
      <c r="D1268" s="7"/>
      <c r="E1268" s="7"/>
      <c r="F1268" s="7"/>
      <c r="G1268" s="7"/>
      <c r="H1268" s="15"/>
      <c r="I1268" s="16"/>
      <c r="J1268" s="7"/>
    </row>
    <row r="1269">
      <c r="A1269" s="7"/>
      <c r="B1269" s="7"/>
      <c r="C1269" s="7"/>
      <c r="D1269" s="7"/>
      <c r="E1269" s="7"/>
      <c r="F1269" s="7"/>
      <c r="G1269" s="7"/>
      <c r="H1269" s="15"/>
      <c r="I1269" s="16"/>
      <c r="J1269" s="7"/>
    </row>
    <row r="1270">
      <c r="A1270" s="7"/>
      <c r="B1270" s="7"/>
      <c r="C1270" s="7"/>
      <c r="D1270" s="7"/>
      <c r="E1270" s="7"/>
      <c r="F1270" s="7"/>
      <c r="G1270" s="7"/>
      <c r="H1270" s="15"/>
      <c r="I1270" s="16"/>
      <c r="J1270" s="7"/>
    </row>
    <row r="1271">
      <c r="A1271" s="7"/>
      <c r="B1271" s="7"/>
      <c r="C1271" s="7"/>
      <c r="D1271" s="7"/>
      <c r="E1271" s="7"/>
      <c r="F1271" s="7"/>
      <c r="G1271" s="7"/>
      <c r="H1271" s="15"/>
      <c r="I1271" s="16"/>
      <c r="J1271" s="7"/>
    </row>
    <row r="1272">
      <c r="A1272" s="7"/>
      <c r="B1272" s="7"/>
      <c r="C1272" s="7"/>
      <c r="D1272" s="7"/>
      <c r="E1272" s="7"/>
      <c r="F1272" s="7"/>
      <c r="G1272" s="7"/>
      <c r="H1272" s="15"/>
      <c r="I1272" s="16"/>
      <c r="J1272" s="7"/>
    </row>
    <row r="1273">
      <c r="A1273" s="7"/>
      <c r="B1273" s="7"/>
      <c r="C1273" s="7"/>
      <c r="D1273" s="7"/>
      <c r="E1273" s="7"/>
      <c r="F1273" s="7"/>
      <c r="G1273" s="7"/>
      <c r="H1273" s="15"/>
      <c r="I1273" s="16"/>
      <c r="J1273" s="7"/>
    </row>
    <row r="1274">
      <c r="A1274" s="7"/>
      <c r="B1274" s="7"/>
      <c r="C1274" s="7"/>
      <c r="D1274" s="7"/>
      <c r="E1274" s="7"/>
      <c r="F1274" s="7"/>
      <c r="G1274" s="7"/>
      <c r="H1274" s="15"/>
      <c r="I1274" s="16"/>
      <c r="J1274" s="7"/>
    </row>
    <row r="1275">
      <c r="A1275" s="7"/>
      <c r="B1275" s="7"/>
      <c r="C1275" s="7"/>
      <c r="D1275" s="7"/>
      <c r="E1275" s="7"/>
      <c r="F1275" s="7"/>
      <c r="G1275" s="7"/>
      <c r="H1275" s="15"/>
      <c r="I1275" s="16"/>
      <c r="J1275" s="7"/>
    </row>
    <row r="1276">
      <c r="A1276" s="7"/>
      <c r="B1276" s="7"/>
      <c r="C1276" s="7"/>
      <c r="D1276" s="7"/>
      <c r="E1276" s="7"/>
      <c r="F1276" s="7"/>
      <c r="G1276" s="7"/>
      <c r="H1276" s="15"/>
      <c r="I1276" s="16"/>
      <c r="J1276" s="7"/>
    </row>
    <row r="1277">
      <c r="A1277" s="7"/>
      <c r="B1277" s="7"/>
      <c r="C1277" s="7"/>
      <c r="D1277" s="7"/>
      <c r="E1277" s="7"/>
      <c r="F1277" s="7"/>
      <c r="G1277" s="7"/>
      <c r="H1277" s="15"/>
      <c r="I1277" s="16"/>
      <c r="J1277" s="7"/>
    </row>
    <row r="1278">
      <c r="A1278" s="7"/>
      <c r="B1278" s="7"/>
      <c r="C1278" s="7"/>
      <c r="D1278" s="7"/>
      <c r="E1278" s="7"/>
      <c r="F1278" s="7"/>
      <c r="G1278" s="7"/>
      <c r="H1278" s="15"/>
      <c r="I1278" s="16"/>
      <c r="J1278" s="7"/>
    </row>
    <row r="1279">
      <c r="A1279" s="7"/>
      <c r="B1279" s="7"/>
      <c r="C1279" s="7"/>
      <c r="D1279" s="7"/>
      <c r="E1279" s="7"/>
      <c r="F1279" s="7"/>
      <c r="G1279" s="7"/>
      <c r="H1279" s="15"/>
      <c r="I1279" s="16"/>
      <c r="J1279" s="7"/>
    </row>
    <row r="1280">
      <c r="A1280" s="7"/>
      <c r="B1280" s="7"/>
      <c r="C1280" s="7"/>
      <c r="D1280" s="7"/>
      <c r="E1280" s="7"/>
      <c r="F1280" s="7"/>
      <c r="G1280" s="7"/>
      <c r="H1280" s="15"/>
      <c r="I1280" s="16"/>
      <c r="J1280" s="7"/>
    </row>
    <row r="1281">
      <c r="A1281" s="7"/>
      <c r="B1281" s="7"/>
      <c r="C1281" s="7"/>
      <c r="D1281" s="7"/>
      <c r="E1281" s="7"/>
      <c r="F1281" s="7"/>
      <c r="G1281" s="7"/>
      <c r="H1281" s="15"/>
      <c r="I1281" s="16"/>
      <c r="J1281" s="7"/>
    </row>
    <row r="1282">
      <c r="A1282" s="7"/>
      <c r="B1282" s="7"/>
      <c r="C1282" s="7"/>
      <c r="D1282" s="7"/>
      <c r="E1282" s="7"/>
      <c r="F1282" s="7"/>
      <c r="G1282" s="7"/>
      <c r="H1282" s="15"/>
      <c r="I1282" s="16"/>
      <c r="J1282" s="7"/>
    </row>
    <row r="1283">
      <c r="A1283" s="7"/>
      <c r="B1283" s="7"/>
      <c r="C1283" s="7"/>
      <c r="D1283" s="7"/>
      <c r="E1283" s="7"/>
      <c r="F1283" s="7"/>
      <c r="G1283" s="7"/>
      <c r="H1283" s="15"/>
      <c r="I1283" s="16"/>
      <c r="J1283" s="7"/>
    </row>
    <row r="1284">
      <c r="A1284" s="7"/>
      <c r="B1284" s="7"/>
      <c r="C1284" s="7"/>
      <c r="D1284" s="7"/>
      <c r="E1284" s="7"/>
      <c r="F1284" s="7"/>
      <c r="G1284" s="7"/>
      <c r="H1284" s="15"/>
      <c r="I1284" s="16"/>
      <c r="J1284" s="7"/>
    </row>
    <row r="1285">
      <c r="A1285" s="7"/>
      <c r="B1285" s="7"/>
      <c r="C1285" s="7"/>
      <c r="D1285" s="7"/>
      <c r="E1285" s="7"/>
      <c r="F1285" s="7"/>
      <c r="G1285" s="7"/>
      <c r="H1285" s="15"/>
      <c r="I1285" s="16"/>
      <c r="J1285" s="7"/>
    </row>
    <row r="1286">
      <c r="A1286" s="7"/>
      <c r="B1286" s="7"/>
      <c r="C1286" s="7"/>
      <c r="D1286" s="7"/>
      <c r="E1286" s="7"/>
      <c r="F1286" s="7"/>
      <c r="G1286" s="7"/>
      <c r="H1286" s="15"/>
      <c r="I1286" s="16"/>
      <c r="J1286" s="7"/>
    </row>
    <row r="1287">
      <c r="A1287" s="7"/>
      <c r="B1287" s="7"/>
      <c r="C1287" s="7"/>
      <c r="D1287" s="7"/>
      <c r="E1287" s="7"/>
      <c r="F1287" s="7"/>
      <c r="G1287" s="7"/>
      <c r="H1287" s="15"/>
      <c r="I1287" s="16"/>
      <c r="J1287" s="7"/>
    </row>
    <row r="1288">
      <c r="A1288" s="7"/>
      <c r="B1288" s="7"/>
      <c r="C1288" s="7"/>
      <c r="D1288" s="7"/>
      <c r="E1288" s="7"/>
      <c r="F1288" s="7"/>
      <c r="G1288" s="7"/>
      <c r="H1288" s="15"/>
      <c r="I1288" s="16"/>
      <c r="J1288" s="7"/>
    </row>
    <row r="1289">
      <c r="A1289" s="7"/>
      <c r="B1289" s="7"/>
      <c r="C1289" s="7"/>
      <c r="D1289" s="7"/>
      <c r="E1289" s="7"/>
      <c r="F1289" s="7"/>
      <c r="G1289" s="7"/>
      <c r="H1289" s="15"/>
      <c r="I1289" s="16"/>
      <c r="J1289" s="7"/>
    </row>
    <row r="1290">
      <c r="A1290" s="7"/>
      <c r="B1290" s="7"/>
      <c r="C1290" s="7"/>
      <c r="D1290" s="7"/>
      <c r="E1290" s="7"/>
      <c r="F1290" s="7"/>
      <c r="G1290" s="7"/>
      <c r="H1290" s="15"/>
      <c r="I1290" s="16"/>
      <c r="J1290" s="7"/>
    </row>
    <row r="1291">
      <c r="A1291" s="7"/>
      <c r="B1291" s="7"/>
      <c r="C1291" s="7"/>
      <c r="D1291" s="7"/>
      <c r="E1291" s="7"/>
      <c r="F1291" s="7"/>
      <c r="G1291" s="7"/>
      <c r="H1291" s="15"/>
      <c r="I1291" s="16"/>
      <c r="J1291" s="7"/>
    </row>
    <row r="1292">
      <c r="A1292" s="7"/>
      <c r="B1292" s="7"/>
      <c r="C1292" s="7"/>
      <c r="D1292" s="7"/>
      <c r="E1292" s="7"/>
      <c r="F1292" s="7"/>
      <c r="G1292" s="7"/>
      <c r="H1292" s="15"/>
      <c r="I1292" s="16"/>
      <c r="J1292" s="7"/>
    </row>
    <row r="1293">
      <c r="A1293" s="7"/>
      <c r="B1293" s="7"/>
      <c r="C1293" s="7"/>
      <c r="D1293" s="7"/>
      <c r="E1293" s="7"/>
      <c r="F1293" s="7"/>
      <c r="G1293" s="7"/>
      <c r="H1293" s="15"/>
      <c r="I1293" s="16"/>
      <c r="J1293" s="7"/>
    </row>
    <row r="1294">
      <c r="A1294" s="7"/>
      <c r="B1294" s="7"/>
      <c r="C1294" s="7"/>
      <c r="D1294" s="7"/>
      <c r="E1294" s="7"/>
      <c r="F1294" s="7"/>
      <c r="G1294" s="7"/>
      <c r="H1294" s="15"/>
      <c r="I1294" s="16"/>
      <c r="J1294" s="7"/>
    </row>
    <row r="1295">
      <c r="A1295" s="7"/>
      <c r="B1295" s="7"/>
      <c r="C1295" s="7"/>
      <c r="D1295" s="7"/>
      <c r="E1295" s="7"/>
      <c r="F1295" s="7"/>
      <c r="G1295" s="7"/>
      <c r="H1295" s="15"/>
      <c r="I1295" s="16"/>
      <c r="J1295" s="7"/>
    </row>
    <row r="1296">
      <c r="A1296" s="7"/>
      <c r="B1296" s="7"/>
      <c r="C1296" s="7"/>
      <c r="D1296" s="7"/>
      <c r="E1296" s="7"/>
      <c r="F1296" s="7"/>
      <c r="G1296" s="7"/>
      <c r="H1296" s="15"/>
      <c r="I1296" s="16"/>
      <c r="J1296" s="7"/>
    </row>
    <row r="1297">
      <c r="A1297" s="7"/>
      <c r="B1297" s="7"/>
      <c r="C1297" s="7"/>
      <c r="D1297" s="7"/>
      <c r="E1297" s="7"/>
      <c r="F1297" s="7"/>
      <c r="G1297" s="7"/>
      <c r="H1297" s="15"/>
      <c r="I1297" s="16"/>
      <c r="J1297" s="7"/>
    </row>
    <row r="1298">
      <c r="A1298" s="7"/>
      <c r="B1298" s="7"/>
      <c r="C1298" s="7"/>
      <c r="D1298" s="7"/>
      <c r="E1298" s="7"/>
      <c r="F1298" s="7"/>
      <c r="G1298" s="7"/>
      <c r="H1298" s="15"/>
      <c r="I1298" s="16"/>
      <c r="J1298" s="7"/>
    </row>
    <row r="1299">
      <c r="A1299" s="7"/>
      <c r="B1299" s="7"/>
      <c r="C1299" s="7"/>
      <c r="D1299" s="7"/>
      <c r="E1299" s="7"/>
      <c r="F1299" s="7"/>
      <c r="G1299" s="7"/>
      <c r="H1299" s="15"/>
      <c r="I1299" s="16"/>
      <c r="J1299" s="7"/>
    </row>
    <row r="1300">
      <c r="A1300" s="7"/>
      <c r="B1300" s="7"/>
      <c r="C1300" s="7"/>
      <c r="D1300" s="7"/>
      <c r="E1300" s="7"/>
      <c r="F1300" s="7"/>
      <c r="G1300" s="7"/>
      <c r="H1300" s="15"/>
      <c r="I1300" s="16"/>
      <c r="J1300" s="7"/>
    </row>
    <row r="1301">
      <c r="A1301" s="7"/>
      <c r="B1301" s="7"/>
      <c r="C1301" s="7"/>
      <c r="D1301" s="7"/>
      <c r="E1301" s="7"/>
      <c r="F1301" s="7"/>
      <c r="G1301" s="7"/>
      <c r="H1301" s="15"/>
      <c r="I1301" s="16"/>
      <c r="J1301" s="7"/>
    </row>
    <row r="1302">
      <c r="A1302" s="7"/>
      <c r="B1302" s="7"/>
      <c r="C1302" s="7"/>
      <c r="D1302" s="7"/>
      <c r="E1302" s="7"/>
      <c r="F1302" s="7"/>
      <c r="G1302" s="7"/>
      <c r="H1302" s="15"/>
      <c r="I1302" s="16"/>
      <c r="J1302" s="7"/>
    </row>
    <row r="1303">
      <c r="A1303" s="7"/>
      <c r="B1303" s="7"/>
      <c r="C1303" s="7"/>
      <c r="D1303" s="7"/>
      <c r="E1303" s="7"/>
      <c r="F1303" s="7"/>
      <c r="G1303" s="7"/>
      <c r="H1303" s="15"/>
      <c r="I1303" s="16"/>
      <c r="J1303" s="7"/>
    </row>
    <row r="1304">
      <c r="A1304" s="7"/>
      <c r="B1304" s="7"/>
      <c r="C1304" s="7"/>
      <c r="D1304" s="7"/>
      <c r="E1304" s="7"/>
      <c r="F1304" s="7"/>
      <c r="G1304" s="7"/>
      <c r="H1304" s="15"/>
      <c r="I1304" s="16"/>
      <c r="J1304" s="7"/>
    </row>
    <row r="1305">
      <c r="A1305" s="7"/>
      <c r="B1305" s="7"/>
      <c r="C1305" s="7"/>
      <c r="D1305" s="7"/>
      <c r="E1305" s="7"/>
      <c r="F1305" s="7"/>
      <c r="G1305" s="7"/>
      <c r="H1305" s="15"/>
      <c r="I1305" s="16"/>
      <c r="J1305" s="7"/>
    </row>
    <row r="1306">
      <c r="A1306" s="7"/>
      <c r="B1306" s="7"/>
      <c r="C1306" s="7"/>
      <c r="D1306" s="7"/>
      <c r="E1306" s="7"/>
      <c r="F1306" s="7"/>
      <c r="G1306" s="7"/>
      <c r="H1306" s="15"/>
      <c r="I1306" s="16"/>
      <c r="J1306" s="7"/>
    </row>
    <row r="1307">
      <c r="A1307" s="7"/>
      <c r="B1307" s="7"/>
      <c r="C1307" s="7"/>
      <c r="D1307" s="7"/>
      <c r="E1307" s="7"/>
      <c r="F1307" s="7"/>
      <c r="G1307" s="7"/>
      <c r="H1307" s="15"/>
      <c r="I1307" s="16"/>
      <c r="J1307" s="7"/>
    </row>
    <row r="1308">
      <c r="A1308" s="7"/>
      <c r="B1308" s="7"/>
      <c r="C1308" s="7"/>
      <c r="D1308" s="7"/>
      <c r="E1308" s="7"/>
      <c r="F1308" s="7"/>
      <c r="G1308" s="7"/>
      <c r="H1308" s="15"/>
      <c r="I1308" s="16"/>
      <c r="J1308" s="7"/>
    </row>
    <row r="1309">
      <c r="A1309" s="7"/>
      <c r="B1309" s="7"/>
      <c r="C1309" s="7"/>
      <c r="D1309" s="7"/>
      <c r="E1309" s="7"/>
      <c r="F1309" s="7"/>
      <c r="G1309" s="7"/>
      <c r="H1309" s="15"/>
      <c r="I1309" s="16"/>
      <c r="J1309" s="7"/>
    </row>
    <row r="1310">
      <c r="A1310" s="7"/>
      <c r="B1310" s="7"/>
      <c r="C1310" s="7"/>
      <c r="D1310" s="7"/>
      <c r="E1310" s="7"/>
      <c r="F1310" s="7"/>
      <c r="G1310" s="7"/>
      <c r="H1310" s="15"/>
      <c r="I1310" s="16"/>
      <c r="J1310" s="7"/>
    </row>
    <row r="1311">
      <c r="A1311" s="7"/>
      <c r="B1311" s="7"/>
      <c r="C1311" s="7"/>
      <c r="D1311" s="7"/>
      <c r="E1311" s="7"/>
      <c r="F1311" s="7"/>
      <c r="G1311" s="7"/>
      <c r="H1311" s="15"/>
      <c r="I1311" s="16"/>
      <c r="J1311" s="7"/>
    </row>
    <row r="1312">
      <c r="A1312" s="7"/>
      <c r="B1312" s="7"/>
      <c r="C1312" s="7"/>
      <c r="D1312" s="7"/>
      <c r="E1312" s="7"/>
      <c r="F1312" s="7"/>
      <c r="G1312" s="7"/>
      <c r="H1312" s="15"/>
      <c r="I1312" s="16"/>
      <c r="J1312" s="7"/>
    </row>
    <row r="1313">
      <c r="A1313" s="7"/>
      <c r="B1313" s="7"/>
      <c r="C1313" s="7"/>
      <c r="D1313" s="7"/>
      <c r="E1313" s="7"/>
      <c r="F1313" s="7"/>
      <c r="G1313" s="7"/>
      <c r="H1313" s="15"/>
      <c r="I1313" s="16"/>
      <c r="J1313" s="7"/>
    </row>
    <row r="1314">
      <c r="A1314" s="7"/>
      <c r="B1314" s="7"/>
      <c r="C1314" s="7"/>
      <c r="D1314" s="7"/>
      <c r="E1314" s="7"/>
      <c r="F1314" s="7"/>
      <c r="G1314" s="7"/>
      <c r="H1314" s="15"/>
      <c r="I1314" s="16"/>
      <c r="J1314" s="7"/>
    </row>
    <row r="1315">
      <c r="A1315" s="7"/>
      <c r="B1315" s="7"/>
      <c r="C1315" s="7"/>
      <c r="D1315" s="7"/>
      <c r="E1315" s="7"/>
      <c r="F1315" s="7"/>
      <c r="G1315" s="7"/>
      <c r="H1315" s="15"/>
      <c r="I1315" s="16"/>
      <c r="J1315" s="7"/>
    </row>
    <row r="1316">
      <c r="A1316" s="7"/>
      <c r="B1316" s="7"/>
      <c r="C1316" s="7"/>
      <c r="D1316" s="7"/>
      <c r="E1316" s="7"/>
      <c r="F1316" s="7"/>
      <c r="G1316" s="7"/>
      <c r="H1316" s="15"/>
      <c r="I1316" s="16"/>
      <c r="J1316" s="7"/>
    </row>
    <row r="1317">
      <c r="A1317" s="7"/>
      <c r="B1317" s="7"/>
      <c r="C1317" s="7"/>
      <c r="D1317" s="7"/>
      <c r="E1317" s="7"/>
      <c r="F1317" s="7"/>
      <c r="G1317" s="7"/>
      <c r="H1317" s="15"/>
      <c r="I1317" s="16"/>
      <c r="J1317" s="7"/>
    </row>
    <row r="1318">
      <c r="A1318" s="7"/>
      <c r="B1318" s="7"/>
      <c r="C1318" s="7"/>
      <c r="D1318" s="7"/>
      <c r="E1318" s="7"/>
      <c r="F1318" s="7"/>
      <c r="G1318" s="7"/>
      <c r="H1318" s="15"/>
      <c r="I1318" s="16"/>
      <c r="J1318" s="7"/>
    </row>
    <row r="1319">
      <c r="A1319" s="7"/>
      <c r="B1319" s="7"/>
      <c r="C1319" s="7"/>
      <c r="D1319" s="7"/>
      <c r="E1319" s="7"/>
      <c r="F1319" s="7"/>
      <c r="G1319" s="7"/>
      <c r="H1319" s="15"/>
      <c r="I1319" s="16"/>
      <c r="J1319" s="7"/>
    </row>
    <row r="1320">
      <c r="A1320" s="7"/>
      <c r="B1320" s="7"/>
      <c r="C1320" s="7"/>
      <c r="D1320" s="7"/>
      <c r="E1320" s="7"/>
      <c r="F1320" s="7"/>
      <c r="G1320" s="7"/>
      <c r="H1320" s="15"/>
      <c r="I1320" s="16"/>
      <c r="J1320" s="7"/>
    </row>
    <row r="1321">
      <c r="A1321" s="7"/>
      <c r="B1321" s="7"/>
      <c r="C1321" s="7"/>
      <c r="D1321" s="7"/>
      <c r="E1321" s="7"/>
      <c r="F1321" s="7"/>
      <c r="G1321" s="7"/>
      <c r="H1321" s="15"/>
      <c r="I1321" s="16"/>
      <c r="J1321" s="7"/>
    </row>
    <row r="1322">
      <c r="A1322" s="7"/>
      <c r="B1322" s="7"/>
      <c r="C1322" s="7"/>
      <c r="D1322" s="7"/>
      <c r="E1322" s="7"/>
      <c r="F1322" s="7"/>
      <c r="G1322" s="7"/>
      <c r="H1322" s="15"/>
      <c r="I1322" s="16"/>
      <c r="J1322" s="7"/>
    </row>
    <row r="1323">
      <c r="A1323" s="7"/>
      <c r="B1323" s="7"/>
      <c r="C1323" s="7"/>
      <c r="D1323" s="7"/>
      <c r="E1323" s="7"/>
      <c r="F1323" s="7"/>
      <c r="G1323" s="7"/>
      <c r="H1323" s="15"/>
      <c r="I1323" s="16"/>
      <c r="J1323" s="7"/>
    </row>
    <row r="1324">
      <c r="A1324" s="7"/>
      <c r="B1324" s="7"/>
      <c r="C1324" s="7"/>
      <c r="D1324" s="7"/>
      <c r="E1324" s="7"/>
      <c r="F1324" s="7"/>
      <c r="G1324" s="7"/>
      <c r="H1324" s="15"/>
      <c r="I1324" s="16"/>
      <c r="J1324" s="7"/>
    </row>
    <row r="1325">
      <c r="A1325" s="7"/>
      <c r="B1325" s="7"/>
      <c r="C1325" s="7"/>
      <c r="D1325" s="7"/>
      <c r="E1325" s="7"/>
      <c r="F1325" s="7"/>
      <c r="G1325" s="7"/>
      <c r="H1325" s="15"/>
      <c r="I1325" s="16"/>
      <c r="J1325" s="7"/>
    </row>
    <row r="1326">
      <c r="A1326" s="7"/>
      <c r="B1326" s="7"/>
      <c r="C1326" s="7"/>
      <c r="D1326" s="7"/>
      <c r="E1326" s="7"/>
      <c r="F1326" s="7"/>
      <c r="G1326" s="7"/>
      <c r="H1326" s="15"/>
      <c r="I1326" s="16"/>
      <c r="J1326" s="7"/>
    </row>
    <row r="1327">
      <c r="A1327" s="7"/>
      <c r="B1327" s="7"/>
      <c r="C1327" s="7"/>
      <c r="D1327" s="7"/>
      <c r="E1327" s="7"/>
      <c r="F1327" s="7"/>
      <c r="G1327" s="7"/>
      <c r="H1327" s="15"/>
      <c r="I1327" s="16"/>
      <c r="J1327" s="7"/>
    </row>
    <row r="1328">
      <c r="A1328" s="7"/>
      <c r="B1328" s="7"/>
      <c r="C1328" s="7"/>
      <c r="D1328" s="7"/>
      <c r="E1328" s="7"/>
      <c r="F1328" s="7"/>
      <c r="G1328" s="7"/>
      <c r="H1328" s="15"/>
      <c r="I1328" s="16"/>
      <c r="J1328" s="7"/>
    </row>
    <row r="1329">
      <c r="A1329" s="7"/>
      <c r="B1329" s="7"/>
      <c r="C1329" s="7"/>
      <c r="D1329" s="7"/>
      <c r="E1329" s="7"/>
      <c r="F1329" s="7"/>
      <c r="G1329" s="7"/>
      <c r="H1329" s="15"/>
      <c r="I1329" s="16"/>
      <c r="J1329" s="7"/>
    </row>
    <row r="1330">
      <c r="A1330" s="7"/>
      <c r="B1330" s="7"/>
      <c r="C1330" s="7"/>
      <c r="D1330" s="7"/>
      <c r="E1330" s="7"/>
      <c r="F1330" s="7"/>
      <c r="G1330" s="7"/>
      <c r="H1330" s="15"/>
      <c r="I1330" s="16"/>
      <c r="J1330" s="7"/>
    </row>
    <row r="1331">
      <c r="A1331" s="7"/>
      <c r="B1331" s="7"/>
      <c r="C1331" s="7"/>
      <c r="D1331" s="7"/>
      <c r="E1331" s="7"/>
      <c r="F1331" s="7"/>
      <c r="G1331" s="7"/>
      <c r="H1331" s="15"/>
      <c r="I1331" s="16"/>
      <c r="J1331" s="7"/>
    </row>
    <row r="1332">
      <c r="A1332" s="7"/>
      <c r="B1332" s="7"/>
      <c r="C1332" s="7"/>
      <c r="D1332" s="7"/>
      <c r="E1332" s="7"/>
      <c r="F1332" s="7"/>
      <c r="G1332" s="7"/>
      <c r="H1332" s="15"/>
      <c r="I1332" s="16"/>
      <c r="J1332" s="7"/>
    </row>
    <row r="1333">
      <c r="A1333" s="7"/>
      <c r="B1333" s="7"/>
      <c r="C1333" s="7"/>
      <c r="D1333" s="7"/>
      <c r="E1333" s="7"/>
      <c r="F1333" s="7"/>
      <c r="G1333" s="7"/>
      <c r="H1333" s="15"/>
      <c r="I1333" s="16"/>
      <c r="J1333" s="7"/>
    </row>
    <row r="1334">
      <c r="A1334" s="7"/>
      <c r="B1334" s="7"/>
      <c r="C1334" s="7"/>
      <c r="D1334" s="7"/>
      <c r="E1334" s="7"/>
      <c r="F1334" s="7"/>
      <c r="G1334" s="7"/>
      <c r="H1334" s="15"/>
      <c r="I1334" s="16"/>
      <c r="J1334" s="7"/>
    </row>
    <row r="1335">
      <c r="A1335" s="7"/>
      <c r="B1335" s="7"/>
      <c r="C1335" s="7"/>
      <c r="D1335" s="7"/>
      <c r="E1335" s="7"/>
      <c r="F1335" s="7"/>
      <c r="G1335" s="7"/>
      <c r="H1335" s="15"/>
      <c r="I1335" s="16"/>
      <c r="J1335" s="7"/>
    </row>
    <row r="1336">
      <c r="A1336" s="7"/>
      <c r="B1336" s="7"/>
      <c r="C1336" s="7"/>
      <c r="D1336" s="7"/>
      <c r="E1336" s="7"/>
      <c r="F1336" s="7"/>
      <c r="G1336" s="7"/>
      <c r="H1336" s="15"/>
      <c r="I1336" s="16"/>
      <c r="J1336" s="7"/>
    </row>
    <row r="1337">
      <c r="A1337" s="7"/>
      <c r="B1337" s="7"/>
      <c r="C1337" s="7"/>
      <c r="D1337" s="7"/>
      <c r="E1337" s="7"/>
      <c r="F1337" s="7"/>
      <c r="G1337" s="7"/>
      <c r="H1337" s="15"/>
      <c r="I1337" s="16"/>
      <c r="J1337" s="7"/>
    </row>
    <row r="1338">
      <c r="A1338" s="7"/>
      <c r="B1338" s="7"/>
      <c r="C1338" s="7"/>
      <c r="D1338" s="7"/>
      <c r="E1338" s="7"/>
      <c r="F1338" s="7"/>
      <c r="G1338" s="7"/>
      <c r="H1338" s="15"/>
      <c r="I1338" s="16"/>
      <c r="J1338" s="7"/>
    </row>
    <row r="1339">
      <c r="A1339" s="7"/>
      <c r="B1339" s="7"/>
      <c r="C1339" s="7"/>
      <c r="D1339" s="7"/>
      <c r="E1339" s="7"/>
      <c r="F1339" s="7"/>
      <c r="G1339" s="7"/>
      <c r="H1339" s="15"/>
      <c r="I1339" s="16"/>
      <c r="J1339" s="7"/>
    </row>
    <row r="1340">
      <c r="A1340" s="7"/>
      <c r="B1340" s="7"/>
      <c r="C1340" s="7"/>
      <c r="D1340" s="7"/>
      <c r="E1340" s="7"/>
      <c r="F1340" s="7"/>
      <c r="G1340" s="7"/>
      <c r="H1340" s="15"/>
      <c r="I1340" s="16"/>
      <c r="J1340" s="7"/>
    </row>
    <row r="1341">
      <c r="A1341" s="7"/>
      <c r="B1341" s="7"/>
      <c r="C1341" s="7"/>
      <c r="D1341" s="7"/>
      <c r="E1341" s="7"/>
      <c r="F1341" s="7"/>
      <c r="G1341" s="7"/>
      <c r="H1341" s="15"/>
      <c r="I1341" s="16"/>
      <c r="J1341" s="7"/>
    </row>
    <row r="1342">
      <c r="A1342" s="7"/>
      <c r="B1342" s="7"/>
      <c r="C1342" s="7"/>
      <c r="D1342" s="7"/>
      <c r="E1342" s="7"/>
      <c r="F1342" s="7"/>
      <c r="G1342" s="7"/>
      <c r="H1342" s="15"/>
      <c r="I1342" s="16"/>
      <c r="J1342" s="7"/>
    </row>
    <row r="1343">
      <c r="A1343" s="7"/>
      <c r="B1343" s="7"/>
      <c r="C1343" s="7"/>
      <c r="D1343" s="7"/>
      <c r="E1343" s="7"/>
      <c r="F1343" s="7"/>
      <c r="G1343" s="7"/>
      <c r="H1343" s="15"/>
      <c r="I1343" s="16"/>
      <c r="J1343" s="7"/>
    </row>
    <row r="1344">
      <c r="A1344" s="7"/>
      <c r="B1344" s="7"/>
      <c r="C1344" s="7"/>
      <c r="D1344" s="7"/>
      <c r="E1344" s="7"/>
      <c r="F1344" s="7"/>
      <c r="G1344" s="7"/>
      <c r="H1344" s="15"/>
      <c r="I1344" s="16"/>
      <c r="J1344" s="7"/>
    </row>
    <row r="1345">
      <c r="A1345" s="7"/>
      <c r="B1345" s="7"/>
      <c r="C1345" s="7"/>
      <c r="D1345" s="7"/>
      <c r="E1345" s="7"/>
      <c r="F1345" s="7"/>
      <c r="G1345" s="7"/>
      <c r="H1345" s="15"/>
      <c r="I1345" s="16"/>
      <c r="J1345" s="7"/>
    </row>
    <row r="1346">
      <c r="A1346" s="7"/>
      <c r="B1346" s="7"/>
      <c r="C1346" s="7"/>
      <c r="D1346" s="7"/>
      <c r="E1346" s="7"/>
      <c r="F1346" s="7"/>
      <c r="G1346" s="7"/>
      <c r="H1346" s="15"/>
      <c r="I1346" s="16"/>
      <c r="J1346" s="7"/>
    </row>
    <row r="1347">
      <c r="A1347" s="7"/>
      <c r="B1347" s="7"/>
      <c r="C1347" s="7"/>
      <c r="D1347" s="7"/>
      <c r="E1347" s="7"/>
      <c r="F1347" s="7"/>
      <c r="G1347" s="7"/>
      <c r="H1347" s="15"/>
      <c r="I1347" s="16"/>
      <c r="J1347" s="7"/>
    </row>
    <row r="1348">
      <c r="A1348" s="7"/>
      <c r="B1348" s="7"/>
      <c r="C1348" s="7"/>
      <c r="D1348" s="7"/>
      <c r="E1348" s="7"/>
      <c r="F1348" s="7"/>
      <c r="G1348" s="7"/>
      <c r="H1348" s="15"/>
      <c r="I1348" s="16"/>
      <c r="J1348" s="7"/>
    </row>
    <row r="1349">
      <c r="A1349" s="7"/>
      <c r="B1349" s="7"/>
      <c r="C1349" s="7"/>
      <c r="D1349" s="7"/>
      <c r="E1349" s="7"/>
      <c r="F1349" s="7"/>
      <c r="G1349" s="7"/>
      <c r="H1349" s="15"/>
      <c r="I1349" s="16"/>
      <c r="J1349" s="7"/>
    </row>
    <row r="1350">
      <c r="A1350" s="7"/>
      <c r="B1350" s="7"/>
      <c r="C1350" s="7"/>
      <c r="D1350" s="7"/>
      <c r="E1350" s="7"/>
      <c r="F1350" s="7"/>
      <c r="G1350" s="7"/>
      <c r="H1350" s="15"/>
      <c r="I1350" s="16"/>
      <c r="J1350" s="7"/>
    </row>
    <row r="1351">
      <c r="A1351" s="7"/>
      <c r="B1351" s="7"/>
      <c r="C1351" s="7"/>
      <c r="D1351" s="7"/>
      <c r="E1351" s="7"/>
      <c r="F1351" s="7"/>
      <c r="G1351" s="7"/>
      <c r="H1351" s="15"/>
      <c r="I1351" s="16"/>
      <c r="J1351" s="7"/>
    </row>
    <row r="1352">
      <c r="A1352" s="7"/>
      <c r="B1352" s="7"/>
      <c r="C1352" s="7"/>
      <c r="D1352" s="7"/>
      <c r="E1352" s="7"/>
      <c r="F1352" s="7"/>
      <c r="G1352" s="7"/>
      <c r="H1352" s="15"/>
      <c r="I1352" s="16"/>
      <c r="J1352" s="7"/>
    </row>
    <row r="1353">
      <c r="A1353" s="7"/>
      <c r="B1353" s="7"/>
      <c r="C1353" s="7"/>
      <c r="D1353" s="7"/>
      <c r="E1353" s="7"/>
      <c r="F1353" s="7"/>
      <c r="G1353" s="7"/>
      <c r="H1353" s="15"/>
      <c r="I1353" s="16"/>
      <c r="J1353" s="7"/>
    </row>
    <row r="1354">
      <c r="A1354" s="7"/>
      <c r="B1354" s="7"/>
      <c r="C1354" s="7"/>
      <c r="D1354" s="7"/>
      <c r="E1354" s="7"/>
      <c r="F1354" s="7"/>
      <c r="G1354" s="7"/>
      <c r="H1354" s="15"/>
      <c r="I1354" s="16"/>
      <c r="J1354" s="7"/>
    </row>
    <row r="1355">
      <c r="A1355" s="7"/>
      <c r="B1355" s="7"/>
      <c r="C1355" s="7"/>
      <c r="D1355" s="7"/>
      <c r="E1355" s="7"/>
      <c r="F1355" s="7"/>
      <c r="G1355" s="7"/>
      <c r="H1355" s="15"/>
      <c r="I1355" s="16"/>
      <c r="J1355" s="7"/>
    </row>
    <row r="1356">
      <c r="A1356" s="7"/>
      <c r="B1356" s="7"/>
      <c r="C1356" s="7"/>
      <c r="D1356" s="7"/>
      <c r="E1356" s="7"/>
      <c r="F1356" s="7"/>
      <c r="G1356" s="7"/>
      <c r="H1356" s="15"/>
      <c r="I1356" s="16"/>
      <c r="J1356" s="7"/>
    </row>
    <row r="1357">
      <c r="A1357" s="7"/>
      <c r="B1357" s="7"/>
      <c r="C1357" s="7"/>
      <c r="D1357" s="7"/>
      <c r="E1357" s="7"/>
      <c r="F1357" s="7"/>
      <c r="G1357" s="7"/>
      <c r="H1357" s="15"/>
      <c r="I1357" s="16"/>
      <c r="J1357" s="7"/>
    </row>
    <row r="1358">
      <c r="A1358" s="7"/>
      <c r="B1358" s="7"/>
      <c r="C1358" s="7"/>
      <c r="D1358" s="7"/>
      <c r="E1358" s="7"/>
      <c r="F1358" s="7"/>
      <c r="G1358" s="7"/>
      <c r="H1358" s="15"/>
      <c r="I1358" s="16"/>
      <c r="J1358" s="7"/>
    </row>
    <row r="1359">
      <c r="A1359" s="7"/>
      <c r="B1359" s="7"/>
      <c r="C1359" s="7"/>
      <c r="D1359" s="7"/>
      <c r="E1359" s="7"/>
      <c r="F1359" s="7"/>
      <c r="G1359" s="7"/>
      <c r="H1359" s="15"/>
      <c r="I1359" s="16"/>
      <c r="J1359" s="7"/>
    </row>
    <row r="1360">
      <c r="A1360" s="7"/>
      <c r="B1360" s="7"/>
      <c r="C1360" s="7"/>
      <c r="D1360" s="7"/>
      <c r="E1360" s="7"/>
      <c r="F1360" s="7"/>
      <c r="G1360" s="7"/>
      <c r="H1360" s="15"/>
      <c r="I1360" s="16"/>
      <c r="J1360" s="7"/>
    </row>
    <row r="1361">
      <c r="A1361" s="7"/>
      <c r="B1361" s="7"/>
      <c r="C1361" s="7"/>
      <c r="D1361" s="7"/>
      <c r="E1361" s="7"/>
      <c r="F1361" s="7"/>
      <c r="G1361" s="7"/>
      <c r="H1361" s="15"/>
      <c r="I1361" s="16"/>
      <c r="J1361" s="7"/>
    </row>
    <row r="1362">
      <c r="A1362" s="7"/>
      <c r="B1362" s="7"/>
      <c r="C1362" s="7"/>
      <c r="D1362" s="7"/>
      <c r="E1362" s="7"/>
      <c r="F1362" s="7"/>
      <c r="G1362" s="7"/>
      <c r="H1362" s="15"/>
      <c r="I1362" s="16"/>
      <c r="J1362" s="7"/>
    </row>
    <row r="1363">
      <c r="A1363" s="7"/>
      <c r="B1363" s="7"/>
      <c r="C1363" s="7"/>
      <c r="D1363" s="7"/>
      <c r="E1363" s="7"/>
      <c r="F1363" s="7"/>
      <c r="G1363" s="7"/>
      <c r="H1363" s="15"/>
      <c r="I1363" s="16"/>
      <c r="J1363" s="7"/>
    </row>
    <row r="1364">
      <c r="A1364" s="7"/>
      <c r="B1364" s="7"/>
      <c r="C1364" s="7"/>
      <c r="D1364" s="7"/>
      <c r="E1364" s="7"/>
      <c r="F1364" s="7"/>
      <c r="G1364" s="7"/>
      <c r="H1364" s="15"/>
      <c r="I1364" s="16"/>
      <c r="J1364" s="7"/>
    </row>
    <row r="1365">
      <c r="A1365" s="7"/>
      <c r="B1365" s="7"/>
      <c r="C1365" s="7"/>
      <c r="D1365" s="7"/>
      <c r="E1365" s="7"/>
      <c r="F1365" s="7"/>
      <c r="G1365" s="7"/>
      <c r="H1365" s="15"/>
      <c r="I1365" s="16"/>
      <c r="J1365" s="7"/>
    </row>
    <row r="1366">
      <c r="A1366" s="7"/>
      <c r="B1366" s="7"/>
      <c r="C1366" s="7"/>
      <c r="D1366" s="7"/>
      <c r="E1366" s="7"/>
      <c r="F1366" s="7"/>
      <c r="G1366" s="7"/>
      <c r="H1366" s="15"/>
      <c r="I1366" s="16"/>
      <c r="J1366" s="7"/>
    </row>
    <row r="1367">
      <c r="A1367" s="7"/>
      <c r="B1367" s="7"/>
      <c r="C1367" s="7"/>
      <c r="D1367" s="7"/>
      <c r="E1367" s="7"/>
      <c r="F1367" s="7"/>
      <c r="G1367" s="7"/>
      <c r="H1367" s="15"/>
      <c r="I1367" s="16"/>
      <c r="J1367" s="7"/>
    </row>
    <row r="1368">
      <c r="A1368" s="7"/>
      <c r="B1368" s="7"/>
      <c r="C1368" s="7"/>
      <c r="D1368" s="7"/>
      <c r="E1368" s="7"/>
      <c r="F1368" s="7"/>
      <c r="G1368" s="7"/>
      <c r="H1368" s="15"/>
      <c r="I1368" s="16"/>
      <c r="J1368" s="7"/>
    </row>
    <row r="1369">
      <c r="A1369" s="7"/>
      <c r="B1369" s="7"/>
      <c r="C1369" s="7"/>
      <c r="D1369" s="7"/>
      <c r="E1369" s="7"/>
      <c r="F1369" s="7"/>
      <c r="G1369" s="7"/>
      <c r="H1369" s="15"/>
      <c r="I1369" s="16"/>
      <c r="J1369" s="7"/>
    </row>
    <row r="1370">
      <c r="A1370" s="7"/>
      <c r="B1370" s="7"/>
      <c r="C1370" s="7"/>
      <c r="D1370" s="7"/>
      <c r="E1370" s="7"/>
      <c r="F1370" s="7"/>
      <c r="G1370" s="7"/>
      <c r="H1370" s="15"/>
      <c r="I1370" s="16"/>
      <c r="J1370" s="7"/>
    </row>
    <row r="1371">
      <c r="A1371" s="7"/>
      <c r="B1371" s="7"/>
      <c r="C1371" s="7"/>
      <c r="D1371" s="7"/>
      <c r="E1371" s="7"/>
      <c r="F1371" s="7"/>
      <c r="G1371" s="7"/>
      <c r="H1371" s="15"/>
      <c r="I1371" s="16"/>
      <c r="J1371" s="7"/>
    </row>
    <row r="1372">
      <c r="A1372" s="7"/>
      <c r="B1372" s="7"/>
      <c r="C1372" s="7"/>
      <c r="D1372" s="7"/>
      <c r="E1372" s="7"/>
      <c r="F1372" s="7"/>
      <c r="G1372" s="7"/>
      <c r="H1372" s="15"/>
      <c r="I1372" s="16"/>
      <c r="J1372" s="7"/>
    </row>
    <row r="1373">
      <c r="A1373" s="7"/>
      <c r="B1373" s="7"/>
      <c r="C1373" s="7"/>
      <c r="D1373" s="7"/>
      <c r="E1373" s="7"/>
      <c r="F1373" s="7"/>
      <c r="G1373" s="7"/>
      <c r="H1373" s="15"/>
      <c r="I1373" s="16"/>
      <c r="J1373" s="7"/>
    </row>
    <row r="1374">
      <c r="A1374" s="7"/>
      <c r="B1374" s="7"/>
      <c r="C1374" s="7"/>
      <c r="D1374" s="7"/>
      <c r="E1374" s="7"/>
      <c r="F1374" s="7"/>
      <c r="G1374" s="7"/>
      <c r="H1374" s="15"/>
      <c r="I1374" s="16"/>
      <c r="J1374" s="7"/>
    </row>
    <row r="1375">
      <c r="A1375" s="7"/>
      <c r="B1375" s="7"/>
      <c r="C1375" s="7"/>
      <c r="D1375" s="7"/>
      <c r="E1375" s="7"/>
      <c r="F1375" s="7"/>
      <c r="G1375" s="7"/>
      <c r="H1375" s="15"/>
      <c r="I1375" s="16"/>
      <c r="J1375" s="7"/>
    </row>
    <row r="1376">
      <c r="A1376" s="7"/>
      <c r="B1376" s="7"/>
      <c r="C1376" s="7"/>
      <c r="D1376" s="7"/>
      <c r="E1376" s="7"/>
      <c r="F1376" s="7"/>
      <c r="G1376" s="7"/>
      <c r="H1376" s="15"/>
      <c r="I1376" s="16"/>
      <c r="J1376" s="7"/>
    </row>
    <row r="1377">
      <c r="A1377" s="7"/>
      <c r="B1377" s="7"/>
      <c r="C1377" s="7"/>
      <c r="D1377" s="7"/>
      <c r="E1377" s="7"/>
      <c r="F1377" s="7"/>
      <c r="G1377" s="7"/>
      <c r="H1377" s="15"/>
      <c r="I1377" s="16"/>
      <c r="J1377" s="7"/>
    </row>
    <row r="1378">
      <c r="A1378" s="7"/>
      <c r="B1378" s="7"/>
      <c r="C1378" s="7"/>
      <c r="D1378" s="7"/>
      <c r="E1378" s="7"/>
      <c r="F1378" s="7"/>
      <c r="G1378" s="7"/>
      <c r="H1378" s="15"/>
      <c r="I1378" s="16"/>
      <c r="J1378" s="7"/>
    </row>
    <row r="1379">
      <c r="A1379" s="7"/>
      <c r="B1379" s="7"/>
      <c r="C1379" s="7"/>
      <c r="D1379" s="7"/>
      <c r="E1379" s="7"/>
      <c r="F1379" s="7"/>
      <c r="G1379" s="7"/>
      <c r="H1379" s="15"/>
      <c r="I1379" s="16"/>
      <c r="J1379" s="7"/>
    </row>
    <row r="1380">
      <c r="A1380" s="7"/>
      <c r="B1380" s="7"/>
      <c r="C1380" s="7"/>
      <c r="D1380" s="7"/>
      <c r="E1380" s="7"/>
      <c r="F1380" s="7"/>
      <c r="G1380" s="7"/>
      <c r="H1380" s="15"/>
      <c r="I1380" s="16"/>
      <c r="J1380" s="7"/>
    </row>
    <row r="1381">
      <c r="A1381" s="7"/>
      <c r="B1381" s="7"/>
      <c r="C1381" s="7"/>
      <c r="D1381" s="7"/>
      <c r="E1381" s="7"/>
      <c r="F1381" s="7"/>
      <c r="G1381" s="7"/>
      <c r="H1381" s="15"/>
      <c r="I1381" s="16"/>
      <c r="J1381" s="7"/>
    </row>
    <row r="1382">
      <c r="A1382" s="7"/>
      <c r="B1382" s="7"/>
      <c r="C1382" s="7"/>
      <c r="D1382" s="7"/>
      <c r="E1382" s="7"/>
      <c r="F1382" s="7"/>
      <c r="G1382" s="7"/>
      <c r="H1382" s="15"/>
      <c r="I1382" s="16"/>
      <c r="J1382" s="7"/>
    </row>
    <row r="1383">
      <c r="A1383" s="7"/>
      <c r="B1383" s="7"/>
      <c r="C1383" s="7"/>
      <c r="D1383" s="7"/>
      <c r="E1383" s="7"/>
      <c r="F1383" s="7"/>
      <c r="G1383" s="7"/>
      <c r="H1383" s="15"/>
      <c r="I1383" s="16"/>
      <c r="J1383" s="7"/>
    </row>
    <row r="1384">
      <c r="A1384" s="7"/>
      <c r="B1384" s="7"/>
      <c r="C1384" s="7"/>
      <c r="D1384" s="7"/>
      <c r="E1384" s="7"/>
      <c r="F1384" s="7"/>
      <c r="G1384" s="7"/>
      <c r="H1384" s="15"/>
      <c r="I1384" s="16"/>
      <c r="J1384" s="7"/>
    </row>
    <row r="1385">
      <c r="A1385" s="7"/>
      <c r="B1385" s="7"/>
      <c r="C1385" s="7"/>
      <c r="D1385" s="7"/>
      <c r="E1385" s="7"/>
      <c r="F1385" s="7"/>
      <c r="G1385" s="7"/>
      <c r="H1385" s="15"/>
      <c r="I1385" s="16"/>
      <c r="J1385" s="7"/>
    </row>
    <row r="1386">
      <c r="A1386" s="7"/>
      <c r="B1386" s="7"/>
      <c r="C1386" s="7"/>
      <c r="D1386" s="7"/>
      <c r="E1386" s="7"/>
      <c r="F1386" s="7"/>
      <c r="G1386" s="7"/>
      <c r="H1386" s="15"/>
      <c r="I1386" s="16"/>
      <c r="J1386" s="7"/>
    </row>
    <row r="1387">
      <c r="A1387" s="7"/>
      <c r="B1387" s="7"/>
      <c r="C1387" s="7"/>
      <c r="D1387" s="7"/>
      <c r="E1387" s="7"/>
      <c r="F1387" s="7"/>
      <c r="G1387" s="7"/>
      <c r="H1387" s="15"/>
      <c r="I1387" s="16"/>
      <c r="J1387" s="7"/>
    </row>
    <row r="1388">
      <c r="A1388" s="7"/>
      <c r="B1388" s="7"/>
      <c r="C1388" s="7"/>
      <c r="D1388" s="7"/>
      <c r="E1388" s="7"/>
      <c r="F1388" s="7"/>
      <c r="G1388" s="7"/>
      <c r="H1388" s="15"/>
      <c r="I1388" s="16"/>
      <c r="J1388" s="7"/>
    </row>
    <row r="1389">
      <c r="A1389" s="7"/>
      <c r="B1389" s="7"/>
      <c r="C1389" s="7"/>
      <c r="D1389" s="7"/>
      <c r="E1389" s="7"/>
      <c r="F1389" s="7"/>
      <c r="G1389" s="7"/>
      <c r="H1389" s="15"/>
      <c r="I1389" s="16"/>
      <c r="J1389" s="7"/>
    </row>
    <row r="1390">
      <c r="A1390" s="7"/>
      <c r="B1390" s="7"/>
      <c r="C1390" s="7"/>
      <c r="D1390" s="7"/>
      <c r="E1390" s="7"/>
      <c r="F1390" s="7"/>
      <c r="G1390" s="7"/>
      <c r="H1390" s="15"/>
      <c r="I1390" s="16"/>
      <c r="J1390" s="7"/>
    </row>
    <row r="1391">
      <c r="A1391" s="7"/>
      <c r="B1391" s="7"/>
      <c r="C1391" s="7"/>
      <c r="D1391" s="7"/>
      <c r="E1391" s="7"/>
      <c r="F1391" s="7"/>
      <c r="G1391" s="7"/>
      <c r="H1391" s="15"/>
      <c r="I1391" s="16"/>
      <c r="J1391" s="7"/>
    </row>
    <row r="1392">
      <c r="A1392" s="7"/>
      <c r="B1392" s="7"/>
      <c r="C1392" s="7"/>
      <c r="D1392" s="7"/>
      <c r="E1392" s="7"/>
      <c r="F1392" s="7"/>
      <c r="G1392" s="7"/>
      <c r="H1392" s="15"/>
      <c r="I1392" s="16"/>
      <c r="J1392" s="7"/>
    </row>
    <row r="1393">
      <c r="A1393" s="7"/>
      <c r="B1393" s="7"/>
      <c r="C1393" s="7"/>
      <c r="D1393" s="7"/>
      <c r="E1393" s="7"/>
      <c r="F1393" s="7"/>
      <c r="G1393" s="7"/>
      <c r="H1393" s="15"/>
      <c r="I1393" s="16"/>
      <c r="J1393" s="7"/>
    </row>
    <row r="1394">
      <c r="A1394" s="7"/>
      <c r="B1394" s="7"/>
      <c r="C1394" s="7"/>
      <c r="D1394" s="7"/>
      <c r="E1394" s="7"/>
      <c r="F1394" s="7"/>
      <c r="G1394" s="7"/>
      <c r="H1394" s="15"/>
      <c r="I1394" s="16"/>
      <c r="J1394" s="7"/>
    </row>
    <row r="1395">
      <c r="A1395" s="7"/>
      <c r="B1395" s="7"/>
      <c r="C1395" s="7"/>
      <c r="D1395" s="7"/>
      <c r="E1395" s="7"/>
      <c r="F1395" s="7"/>
      <c r="G1395" s="7"/>
      <c r="H1395" s="15"/>
      <c r="I1395" s="16"/>
      <c r="J1395" s="7"/>
    </row>
    <row r="1396">
      <c r="A1396" s="7"/>
      <c r="B1396" s="7"/>
      <c r="C1396" s="7"/>
      <c r="D1396" s="7"/>
      <c r="E1396" s="7"/>
      <c r="F1396" s="7"/>
      <c r="G1396" s="7"/>
      <c r="H1396" s="15"/>
      <c r="I1396" s="16"/>
      <c r="J1396" s="7"/>
    </row>
    <row r="1397">
      <c r="A1397" s="7"/>
      <c r="B1397" s="7"/>
      <c r="C1397" s="7"/>
      <c r="D1397" s="7"/>
      <c r="E1397" s="7"/>
      <c r="F1397" s="7"/>
      <c r="G1397" s="7"/>
      <c r="H1397" s="15"/>
      <c r="I1397" s="16"/>
      <c r="J1397" s="7"/>
    </row>
    <row r="1398">
      <c r="A1398" s="7"/>
      <c r="B1398" s="7"/>
      <c r="C1398" s="7"/>
      <c r="D1398" s="7"/>
      <c r="E1398" s="7"/>
      <c r="F1398" s="7"/>
      <c r="G1398" s="7"/>
      <c r="H1398" s="15"/>
      <c r="I1398" s="16"/>
      <c r="J1398" s="7"/>
    </row>
    <row r="1399">
      <c r="A1399" s="7"/>
      <c r="B1399" s="7"/>
      <c r="C1399" s="7"/>
      <c r="D1399" s="7"/>
      <c r="E1399" s="7"/>
      <c r="F1399" s="7"/>
      <c r="G1399" s="7"/>
      <c r="H1399" s="15"/>
      <c r="I1399" s="16"/>
      <c r="J1399" s="7"/>
    </row>
    <row r="1400">
      <c r="A1400" s="7"/>
      <c r="B1400" s="7"/>
      <c r="C1400" s="7"/>
      <c r="D1400" s="7"/>
      <c r="E1400" s="7"/>
      <c r="F1400" s="7"/>
      <c r="G1400" s="7"/>
      <c r="H1400" s="15"/>
      <c r="I1400" s="16"/>
      <c r="J1400" s="7"/>
    </row>
    <row r="1401">
      <c r="A1401" s="7"/>
      <c r="B1401" s="7"/>
      <c r="C1401" s="7"/>
      <c r="D1401" s="7"/>
      <c r="E1401" s="7"/>
      <c r="F1401" s="7"/>
      <c r="G1401" s="7"/>
      <c r="H1401" s="15"/>
      <c r="I1401" s="16"/>
      <c r="J1401" s="7"/>
    </row>
    <row r="1402">
      <c r="A1402" s="7"/>
      <c r="B1402" s="7"/>
      <c r="C1402" s="7"/>
      <c r="D1402" s="7"/>
      <c r="E1402" s="7"/>
      <c r="F1402" s="7"/>
      <c r="G1402" s="7"/>
      <c r="H1402" s="15"/>
      <c r="I1402" s="16"/>
      <c r="J1402" s="7"/>
    </row>
    <row r="1403">
      <c r="A1403" s="7"/>
      <c r="B1403" s="7"/>
      <c r="C1403" s="7"/>
      <c r="D1403" s="7"/>
      <c r="E1403" s="7"/>
      <c r="F1403" s="7"/>
      <c r="G1403" s="7"/>
      <c r="H1403" s="15"/>
      <c r="I1403" s="16"/>
      <c r="J1403" s="7"/>
    </row>
    <row r="1404">
      <c r="A1404" s="7"/>
      <c r="B1404" s="7"/>
      <c r="C1404" s="7"/>
      <c r="D1404" s="7"/>
      <c r="E1404" s="7"/>
      <c r="F1404" s="7"/>
      <c r="G1404" s="7"/>
      <c r="H1404" s="15"/>
      <c r="I1404" s="16"/>
      <c r="J1404" s="7"/>
    </row>
    <row r="1405">
      <c r="A1405" s="7"/>
      <c r="B1405" s="7"/>
      <c r="C1405" s="7"/>
      <c r="D1405" s="7"/>
      <c r="E1405" s="7"/>
      <c r="F1405" s="7"/>
      <c r="G1405" s="7"/>
      <c r="H1405" s="15"/>
      <c r="I1405" s="16"/>
      <c r="J1405" s="7"/>
    </row>
    <row r="1406">
      <c r="A1406" s="7"/>
      <c r="B1406" s="7"/>
      <c r="C1406" s="7"/>
      <c r="D1406" s="7"/>
      <c r="E1406" s="7"/>
      <c r="F1406" s="7"/>
      <c r="G1406" s="7"/>
      <c r="H1406" s="15"/>
      <c r="I1406" s="16"/>
      <c r="J1406" s="7"/>
    </row>
    <row r="1407">
      <c r="A1407" s="7"/>
      <c r="B1407" s="7"/>
      <c r="C1407" s="7"/>
      <c r="D1407" s="7"/>
      <c r="E1407" s="7"/>
      <c r="F1407" s="7"/>
      <c r="G1407" s="7"/>
      <c r="H1407" s="15"/>
      <c r="I1407" s="16"/>
      <c r="J1407" s="7"/>
    </row>
    <row r="1408">
      <c r="A1408" s="7"/>
      <c r="B1408" s="7"/>
      <c r="C1408" s="7"/>
      <c r="D1408" s="7"/>
      <c r="E1408" s="7"/>
      <c r="F1408" s="7"/>
      <c r="G1408" s="7"/>
      <c r="H1408" s="15"/>
      <c r="I1408" s="16"/>
      <c r="J1408" s="7"/>
    </row>
    <row r="1409">
      <c r="A1409" s="7"/>
      <c r="B1409" s="7"/>
      <c r="C1409" s="7"/>
      <c r="D1409" s="7"/>
      <c r="E1409" s="7"/>
      <c r="F1409" s="7"/>
      <c r="G1409" s="7"/>
      <c r="H1409" s="15"/>
      <c r="I1409" s="16"/>
      <c r="J1409" s="7"/>
    </row>
    <row r="1410">
      <c r="A1410" s="7"/>
      <c r="B1410" s="7"/>
      <c r="C1410" s="7"/>
      <c r="D1410" s="7"/>
      <c r="E1410" s="7"/>
      <c r="F1410" s="7"/>
      <c r="G1410" s="7"/>
      <c r="H1410" s="15"/>
      <c r="I1410" s="16"/>
      <c r="J1410" s="7"/>
    </row>
    <row r="1411">
      <c r="A1411" s="7"/>
      <c r="B1411" s="7"/>
      <c r="C1411" s="7"/>
      <c r="D1411" s="7"/>
      <c r="E1411" s="7"/>
      <c r="F1411" s="7"/>
      <c r="G1411" s="7"/>
      <c r="H1411" s="15"/>
      <c r="I1411" s="16"/>
      <c r="J1411" s="7"/>
    </row>
    <row r="1412">
      <c r="A1412" s="7"/>
      <c r="B1412" s="7"/>
      <c r="C1412" s="7"/>
      <c r="D1412" s="7"/>
      <c r="E1412" s="7"/>
      <c r="F1412" s="7"/>
      <c r="G1412" s="7"/>
      <c r="H1412" s="15"/>
      <c r="I1412" s="16"/>
      <c r="J1412" s="7"/>
    </row>
    <row r="1413">
      <c r="A1413" s="7"/>
      <c r="B1413" s="7"/>
      <c r="C1413" s="7"/>
      <c r="D1413" s="7"/>
      <c r="E1413" s="7"/>
      <c r="F1413" s="7"/>
      <c r="G1413" s="7"/>
      <c r="H1413" s="15"/>
      <c r="I1413" s="16"/>
      <c r="J1413" s="7"/>
    </row>
    <row r="1414">
      <c r="A1414" s="7"/>
      <c r="B1414" s="7"/>
      <c r="C1414" s="7"/>
      <c r="D1414" s="7"/>
      <c r="E1414" s="7"/>
      <c r="F1414" s="7"/>
      <c r="G1414" s="7"/>
      <c r="H1414" s="15"/>
      <c r="I1414" s="16"/>
      <c r="J1414" s="7"/>
    </row>
    <row r="1415">
      <c r="A1415" s="7"/>
      <c r="B1415" s="7"/>
      <c r="C1415" s="7"/>
      <c r="D1415" s="7"/>
      <c r="E1415" s="7"/>
      <c r="F1415" s="7"/>
      <c r="G1415" s="7"/>
      <c r="H1415" s="15"/>
      <c r="I1415" s="16"/>
      <c r="J1415" s="7"/>
    </row>
    <row r="1416">
      <c r="A1416" s="7"/>
      <c r="B1416" s="7"/>
      <c r="C1416" s="7"/>
      <c r="D1416" s="7"/>
      <c r="E1416" s="7"/>
      <c r="F1416" s="7"/>
      <c r="G1416" s="7"/>
      <c r="H1416" s="15"/>
      <c r="I1416" s="16"/>
      <c r="J1416" s="7"/>
    </row>
    <row r="1417">
      <c r="A1417" s="7"/>
      <c r="B1417" s="7"/>
      <c r="C1417" s="7"/>
      <c r="D1417" s="7"/>
      <c r="E1417" s="7"/>
      <c r="F1417" s="7"/>
      <c r="G1417" s="7"/>
      <c r="H1417" s="15"/>
      <c r="I1417" s="16"/>
      <c r="J1417" s="7"/>
    </row>
    <row r="1418">
      <c r="A1418" s="7"/>
      <c r="B1418" s="7"/>
      <c r="C1418" s="7"/>
      <c r="D1418" s="7"/>
      <c r="E1418" s="7"/>
      <c r="F1418" s="7"/>
      <c r="G1418" s="7"/>
      <c r="H1418" s="15"/>
      <c r="I1418" s="16"/>
      <c r="J1418" s="7"/>
    </row>
    <row r="1419">
      <c r="A1419" s="7"/>
      <c r="B1419" s="7"/>
      <c r="C1419" s="7"/>
      <c r="D1419" s="7"/>
      <c r="E1419" s="7"/>
      <c r="F1419" s="7"/>
      <c r="G1419" s="7"/>
      <c r="H1419" s="15"/>
      <c r="I1419" s="16"/>
      <c r="J1419" s="7"/>
    </row>
    <row r="1420">
      <c r="A1420" s="7"/>
      <c r="B1420" s="7"/>
      <c r="C1420" s="7"/>
      <c r="D1420" s="7"/>
      <c r="E1420" s="7"/>
      <c r="F1420" s="7"/>
      <c r="G1420" s="7"/>
      <c r="H1420" s="15"/>
      <c r="I1420" s="16"/>
      <c r="J1420" s="7"/>
    </row>
    <row r="1421">
      <c r="A1421" s="7"/>
      <c r="B1421" s="7"/>
      <c r="C1421" s="7"/>
      <c r="D1421" s="7"/>
      <c r="E1421" s="7"/>
      <c r="F1421" s="7"/>
      <c r="G1421" s="7"/>
      <c r="H1421" s="15"/>
      <c r="I1421" s="16"/>
      <c r="J1421" s="7"/>
    </row>
    <row r="1422">
      <c r="A1422" s="7"/>
      <c r="B1422" s="7"/>
      <c r="C1422" s="7"/>
      <c r="D1422" s="7"/>
      <c r="E1422" s="7"/>
      <c r="F1422" s="7"/>
      <c r="G1422" s="7"/>
      <c r="H1422" s="15"/>
      <c r="I1422" s="16"/>
      <c r="J1422" s="7"/>
    </row>
    <row r="1423">
      <c r="A1423" s="7"/>
      <c r="B1423" s="7"/>
      <c r="C1423" s="7"/>
      <c r="D1423" s="7"/>
      <c r="E1423" s="7"/>
      <c r="F1423" s="7"/>
      <c r="G1423" s="7"/>
      <c r="H1423" s="15"/>
      <c r="I1423" s="16"/>
      <c r="J1423" s="7"/>
    </row>
    <row r="1424">
      <c r="A1424" s="7"/>
      <c r="B1424" s="7"/>
      <c r="C1424" s="7"/>
      <c r="D1424" s="7"/>
      <c r="E1424" s="7"/>
      <c r="F1424" s="7"/>
      <c r="G1424" s="7"/>
      <c r="H1424" s="15"/>
      <c r="I1424" s="16"/>
      <c r="J1424" s="7"/>
    </row>
    <row r="1425">
      <c r="A1425" s="7"/>
      <c r="B1425" s="7"/>
      <c r="C1425" s="7"/>
      <c r="D1425" s="7"/>
      <c r="E1425" s="7"/>
      <c r="F1425" s="7"/>
      <c r="G1425" s="7"/>
      <c r="H1425" s="15"/>
      <c r="I1425" s="16"/>
      <c r="J1425" s="7"/>
    </row>
    <row r="1426">
      <c r="A1426" s="7"/>
      <c r="B1426" s="7"/>
      <c r="C1426" s="7"/>
      <c r="D1426" s="7"/>
      <c r="E1426" s="7"/>
      <c r="F1426" s="7"/>
      <c r="G1426" s="7"/>
      <c r="H1426" s="15"/>
      <c r="I1426" s="16"/>
      <c r="J1426" s="7"/>
    </row>
    <row r="1427">
      <c r="A1427" s="7"/>
      <c r="B1427" s="7"/>
      <c r="C1427" s="7"/>
      <c r="D1427" s="7"/>
      <c r="E1427" s="7"/>
      <c r="F1427" s="7"/>
      <c r="G1427" s="7"/>
      <c r="H1427" s="15"/>
      <c r="I1427" s="16"/>
      <c r="J1427" s="7"/>
    </row>
    <row r="1428">
      <c r="A1428" s="7"/>
      <c r="B1428" s="7"/>
      <c r="C1428" s="7"/>
      <c r="D1428" s="7"/>
      <c r="E1428" s="7"/>
      <c r="F1428" s="7"/>
      <c r="G1428" s="7"/>
      <c r="H1428" s="15"/>
      <c r="I1428" s="16"/>
      <c r="J1428" s="7"/>
    </row>
    <row r="1429">
      <c r="A1429" s="7"/>
      <c r="B1429" s="7"/>
      <c r="C1429" s="7"/>
      <c r="D1429" s="7"/>
      <c r="E1429" s="7"/>
      <c r="F1429" s="7"/>
      <c r="G1429" s="7"/>
      <c r="H1429" s="15"/>
      <c r="I1429" s="16"/>
      <c r="J1429" s="7"/>
    </row>
    <row r="1430">
      <c r="A1430" s="7"/>
      <c r="B1430" s="7"/>
      <c r="C1430" s="7"/>
      <c r="D1430" s="7"/>
      <c r="E1430" s="7"/>
      <c r="F1430" s="7"/>
      <c r="G1430" s="7"/>
      <c r="H1430" s="15"/>
      <c r="I1430" s="16"/>
      <c r="J1430" s="7"/>
    </row>
    <row r="1431">
      <c r="A1431" s="7"/>
      <c r="B1431" s="7"/>
      <c r="C1431" s="7"/>
      <c r="D1431" s="7"/>
      <c r="E1431" s="7"/>
      <c r="F1431" s="7"/>
      <c r="G1431" s="7"/>
      <c r="H1431" s="15"/>
      <c r="I1431" s="16"/>
      <c r="J1431" s="7"/>
    </row>
    <row r="1432">
      <c r="A1432" s="7"/>
      <c r="B1432" s="7"/>
      <c r="C1432" s="7"/>
      <c r="D1432" s="7"/>
      <c r="E1432" s="7"/>
      <c r="F1432" s="7"/>
      <c r="G1432" s="7"/>
      <c r="H1432" s="15"/>
      <c r="I1432" s="16"/>
      <c r="J1432" s="7"/>
    </row>
    <row r="1433">
      <c r="A1433" s="7"/>
      <c r="B1433" s="7"/>
      <c r="C1433" s="7"/>
      <c r="D1433" s="7"/>
      <c r="E1433" s="7"/>
      <c r="F1433" s="7"/>
      <c r="G1433" s="7"/>
      <c r="H1433" s="15"/>
      <c r="I1433" s="16"/>
      <c r="J1433" s="7"/>
    </row>
    <row r="1434">
      <c r="A1434" s="7"/>
      <c r="B1434" s="7"/>
      <c r="C1434" s="7"/>
      <c r="D1434" s="7"/>
      <c r="E1434" s="7"/>
      <c r="F1434" s="7"/>
      <c r="G1434" s="7"/>
      <c r="H1434" s="15"/>
      <c r="I1434" s="16"/>
      <c r="J1434" s="7"/>
    </row>
    <row r="1435">
      <c r="A1435" s="7"/>
      <c r="B1435" s="7"/>
      <c r="C1435" s="7"/>
      <c r="D1435" s="7"/>
      <c r="E1435" s="7"/>
      <c r="F1435" s="7"/>
      <c r="G1435" s="7"/>
      <c r="H1435" s="15"/>
      <c r="I1435" s="16"/>
      <c r="J1435" s="7"/>
    </row>
    <row r="1436">
      <c r="A1436" s="7"/>
      <c r="B1436" s="7"/>
      <c r="C1436" s="7"/>
      <c r="D1436" s="7"/>
      <c r="E1436" s="7"/>
      <c r="F1436" s="7"/>
      <c r="G1436" s="7"/>
      <c r="H1436" s="15"/>
      <c r="I1436" s="16"/>
      <c r="J1436" s="7"/>
    </row>
    <row r="1437">
      <c r="A1437" s="7"/>
      <c r="B1437" s="7"/>
      <c r="C1437" s="7"/>
      <c r="D1437" s="7"/>
      <c r="E1437" s="7"/>
      <c r="F1437" s="7"/>
      <c r="G1437" s="7"/>
      <c r="H1437" s="15"/>
      <c r="I1437" s="16"/>
      <c r="J1437" s="7"/>
    </row>
    <row r="1438">
      <c r="A1438" s="7"/>
      <c r="B1438" s="7"/>
      <c r="C1438" s="7"/>
      <c r="D1438" s="7"/>
      <c r="E1438" s="7"/>
      <c r="F1438" s="7"/>
      <c r="G1438" s="7"/>
      <c r="H1438" s="15"/>
      <c r="I1438" s="16"/>
      <c r="J1438" s="7"/>
    </row>
    <row r="1439">
      <c r="A1439" s="7"/>
      <c r="B1439" s="7"/>
      <c r="C1439" s="7"/>
      <c r="D1439" s="7"/>
      <c r="E1439" s="7"/>
      <c r="F1439" s="7"/>
      <c r="G1439" s="7"/>
      <c r="H1439" s="15"/>
      <c r="I1439" s="16"/>
      <c r="J1439" s="7"/>
    </row>
    <row r="1440">
      <c r="A1440" s="7"/>
      <c r="B1440" s="7"/>
      <c r="C1440" s="7"/>
      <c r="D1440" s="7"/>
      <c r="E1440" s="7"/>
      <c r="F1440" s="7"/>
      <c r="G1440" s="7"/>
      <c r="H1440" s="15"/>
      <c r="I1440" s="16"/>
      <c r="J1440" s="7"/>
    </row>
    <row r="1441">
      <c r="A1441" s="7"/>
      <c r="B1441" s="7"/>
      <c r="C1441" s="7"/>
      <c r="D1441" s="7"/>
      <c r="E1441" s="7"/>
      <c r="F1441" s="7"/>
      <c r="G1441" s="7"/>
      <c r="H1441" s="15"/>
      <c r="I1441" s="16"/>
      <c r="J1441" s="7"/>
    </row>
    <row r="1442">
      <c r="A1442" s="7"/>
      <c r="B1442" s="7"/>
      <c r="C1442" s="7"/>
      <c r="D1442" s="7"/>
      <c r="E1442" s="7"/>
      <c r="F1442" s="7"/>
      <c r="G1442" s="7"/>
      <c r="H1442" s="15"/>
      <c r="I1442" s="16"/>
      <c r="J1442" s="7"/>
    </row>
    <row r="1443">
      <c r="A1443" s="7"/>
      <c r="B1443" s="7"/>
      <c r="C1443" s="7"/>
      <c r="D1443" s="7"/>
      <c r="E1443" s="7"/>
      <c r="F1443" s="7"/>
      <c r="G1443" s="7"/>
      <c r="H1443" s="15"/>
      <c r="I1443" s="16"/>
      <c r="J1443" s="7"/>
    </row>
    <row r="1444">
      <c r="A1444" s="7"/>
      <c r="B1444" s="7"/>
      <c r="C1444" s="7"/>
      <c r="D1444" s="7"/>
      <c r="E1444" s="7"/>
      <c r="F1444" s="7"/>
      <c r="G1444" s="7"/>
      <c r="H1444" s="15"/>
      <c r="I1444" s="16"/>
      <c r="J1444" s="7"/>
    </row>
    <row r="1445">
      <c r="A1445" s="7"/>
      <c r="B1445" s="7"/>
      <c r="C1445" s="7"/>
      <c r="D1445" s="7"/>
      <c r="E1445" s="7"/>
      <c r="F1445" s="7"/>
      <c r="G1445" s="7"/>
      <c r="H1445" s="15"/>
      <c r="I1445" s="16"/>
      <c r="J1445" s="7"/>
    </row>
    <row r="1446">
      <c r="A1446" s="7"/>
      <c r="B1446" s="7"/>
      <c r="C1446" s="7"/>
      <c r="D1446" s="7"/>
      <c r="E1446" s="7"/>
      <c r="F1446" s="7"/>
      <c r="G1446" s="7"/>
      <c r="H1446" s="15"/>
      <c r="I1446" s="16"/>
      <c r="J1446" s="7"/>
    </row>
    <row r="1447">
      <c r="A1447" s="7"/>
      <c r="B1447" s="7"/>
      <c r="C1447" s="7"/>
      <c r="D1447" s="7"/>
      <c r="E1447" s="7"/>
      <c r="F1447" s="7"/>
      <c r="G1447" s="7"/>
      <c r="H1447" s="15"/>
      <c r="I1447" s="16"/>
      <c r="J1447" s="7"/>
    </row>
    <row r="1448">
      <c r="A1448" s="7"/>
      <c r="B1448" s="7"/>
      <c r="C1448" s="7"/>
      <c r="D1448" s="7"/>
      <c r="E1448" s="7"/>
      <c r="F1448" s="7"/>
      <c r="G1448" s="7"/>
      <c r="H1448" s="15"/>
      <c r="I1448" s="16"/>
      <c r="J1448" s="7"/>
    </row>
    <row r="1449">
      <c r="A1449" s="7"/>
      <c r="B1449" s="7"/>
      <c r="C1449" s="7"/>
      <c r="D1449" s="7"/>
      <c r="E1449" s="7"/>
      <c r="F1449" s="7"/>
      <c r="G1449" s="7"/>
      <c r="H1449" s="15"/>
      <c r="I1449" s="16"/>
      <c r="J1449" s="7"/>
    </row>
    <row r="1450">
      <c r="A1450" s="7"/>
      <c r="B1450" s="7"/>
      <c r="C1450" s="7"/>
      <c r="D1450" s="7"/>
      <c r="E1450" s="7"/>
      <c r="F1450" s="7"/>
      <c r="G1450" s="7"/>
      <c r="H1450" s="15"/>
      <c r="I1450" s="16"/>
      <c r="J1450" s="7"/>
    </row>
    <row r="1451">
      <c r="A1451" s="7"/>
      <c r="B1451" s="7"/>
      <c r="C1451" s="7"/>
      <c r="D1451" s="7"/>
      <c r="E1451" s="7"/>
      <c r="F1451" s="7"/>
      <c r="G1451" s="7"/>
      <c r="H1451" s="15"/>
      <c r="I1451" s="16"/>
      <c r="J1451" s="7"/>
    </row>
    <row r="1452">
      <c r="A1452" s="7"/>
      <c r="B1452" s="7"/>
      <c r="C1452" s="7"/>
      <c r="D1452" s="7"/>
      <c r="E1452" s="7"/>
      <c r="F1452" s="7"/>
      <c r="G1452" s="7"/>
      <c r="H1452" s="15"/>
      <c r="I1452" s="16"/>
      <c r="J1452" s="7"/>
    </row>
    <row r="1453">
      <c r="A1453" s="7"/>
      <c r="B1453" s="7"/>
      <c r="C1453" s="7"/>
      <c r="D1453" s="7"/>
      <c r="E1453" s="7"/>
      <c r="F1453" s="7"/>
      <c r="G1453" s="7"/>
      <c r="H1453" s="15"/>
      <c r="I1453" s="16"/>
      <c r="J1453" s="7"/>
    </row>
    <row r="1454">
      <c r="A1454" s="7"/>
      <c r="B1454" s="7"/>
      <c r="C1454" s="7"/>
      <c r="D1454" s="7"/>
      <c r="E1454" s="7"/>
      <c r="F1454" s="7"/>
      <c r="G1454" s="7"/>
      <c r="H1454" s="15"/>
      <c r="I1454" s="16"/>
      <c r="J1454" s="7"/>
    </row>
    <row r="1455">
      <c r="A1455" s="7"/>
      <c r="B1455" s="7"/>
      <c r="C1455" s="7"/>
      <c r="D1455" s="7"/>
      <c r="E1455" s="7"/>
      <c r="F1455" s="7"/>
      <c r="G1455" s="7"/>
      <c r="H1455" s="15"/>
      <c r="I1455" s="16"/>
      <c r="J1455" s="7"/>
    </row>
    <row r="1456">
      <c r="A1456" s="7"/>
      <c r="B1456" s="7"/>
      <c r="C1456" s="7"/>
      <c r="D1456" s="7"/>
      <c r="E1456" s="7"/>
      <c r="F1456" s="7"/>
      <c r="G1456" s="7"/>
      <c r="H1456" s="15"/>
      <c r="I1456" s="16"/>
      <c r="J1456" s="7"/>
    </row>
    <row r="1457">
      <c r="A1457" s="7"/>
      <c r="B1457" s="7"/>
      <c r="C1457" s="7"/>
      <c r="D1457" s="7"/>
      <c r="E1457" s="7"/>
      <c r="F1457" s="7"/>
      <c r="G1457" s="7"/>
      <c r="H1457" s="15"/>
      <c r="I1457" s="16"/>
      <c r="J1457" s="7"/>
    </row>
    <row r="1458">
      <c r="A1458" s="7"/>
      <c r="B1458" s="7"/>
      <c r="C1458" s="7"/>
      <c r="D1458" s="7"/>
      <c r="E1458" s="7"/>
      <c r="F1458" s="7"/>
      <c r="G1458" s="7"/>
      <c r="H1458" s="15"/>
      <c r="I1458" s="16"/>
      <c r="J1458" s="7"/>
    </row>
    <row r="1459">
      <c r="A1459" s="7"/>
      <c r="B1459" s="7"/>
      <c r="C1459" s="7"/>
      <c r="D1459" s="7"/>
      <c r="E1459" s="7"/>
      <c r="F1459" s="7"/>
      <c r="G1459" s="7"/>
      <c r="H1459" s="15"/>
      <c r="I1459" s="16"/>
      <c r="J1459" s="7"/>
    </row>
    <row r="1460">
      <c r="A1460" s="7"/>
      <c r="B1460" s="7"/>
      <c r="C1460" s="7"/>
      <c r="D1460" s="7"/>
      <c r="E1460" s="7"/>
      <c r="F1460" s="7"/>
      <c r="G1460" s="7"/>
      <c r="H1460" s="15"/>
      <c r="I1460" s="16"/>
      <c r="J1460" s="7"/>
    </row>
    <row r="1461">
      <c r="A1461" s="7"/>
      <c r="B1461" s="7"/>
      <c r="C1461" s="7"/>
      <c r="D1461" s="7"/>
      <c r="E1461" s="7"/>
      <c r="F1461" s="7"/>
      <c r="G1461" s="7"/>
      <c r="H1461" s="15"/>
      <c r="I1461" s="16"/>
      <c r="J1461" s="7"/>
    </row>
    <row r="1462">
      <c r="A1462" s="7"/>
      <c r="B1462" s="7"/>
      <c r="C1462" s="7"/>
      <c r="D1462" s="7"/>
      <c r="E1462" s="7"/>
      <c r="F1462" s="7"/>
      <c r="G1462" s="7"/>
      <c r="H1462" s="15"/>
      <c r="I1462" s="16"/>
      <c r="J1462" s="7"/>
    </row>
    <row r="1463">
      <c r="A1463" s="7"/>
      <c r="B1463" s="7"/>
      <c r="C1463" s="7"/>
      <c r="D1463" s="7"/>
      <c r="E1463" s="7"/>
      <c r="F1463" s="7"/>
      <c r="G1463" s="7"/>
      <c r="H1463" s="15"/>
      <c r="I1463" s="16"/>
      <c r="J1463" s="7"/>
    </row>
    <row r="1464">
      <c r="A1464" s="7"/>
      <c r="B1464" s="7"/>
      <c r="C1464" s="7"/>
      <c r="D1464" s="7"/>
      <c r="E1464" s="7"/>
      <c r="F1464" s="7"/>
      <c r="G1464" s="7"/>
      <c r="H1464" s="15"/>
      <c r="I1464" s="16"/>
      <c r="J1464" s="7"/>
    </row>
    <row r="1465">
      <c r="A1465" s="7"/>
      <c r="B1465" s="7"/>
      <c r="C1465" s="7"/>
      <c r="D1465" s="7"/>
      <c r="E1465" s="7"/>
      <c r="F1465" s="7"/>
      <c r="G1465" s="7"/>
      <c r="H1465" s="15"/>
      <c r="I1465" s="16"/>
      <c r="J1465" s="7"/>
    </row>
    <row r="1466">
      <c r="A1466" s="7"/>
      <c r="B1466" s="7"/>
      <c r="C1466" s="7"/>
      <c r="D1466" s="7"/>
      <c r="E1466" s="7"/>
      <c r="F1466" s="7"/>
      <c r="G1466" s="7"/>
      <c r="H1466" s="15"/>
      <c r="I1466" s="16"/>
      <c r="J1466" s="7"/>
    </row>
    <row r="1467">
      <c r="A1467" s="7"/>
      <c r="B1467" s="7"/>
      <c r="C1467" s="7"/>
      <c r="D1467" s="7"/>
      <c r="E1467" s="7"/>
      <c r="F1467" s="7"/>
      <c r="G1467" s="7"/>
      <c r="H1467" s="15"/>
      <c r="I1467" s="16"/>
      <c r="J1467" s="7"/>
    </row>
    <row r="1468">
      <c r="A1468" s="7"/>
      <c r="B1468" s="7"/>
      <c r="C1468" s="7"/>
      <c r="D1468" s="7"/>
      <c r="E1468" s="7"/>
      <c r="F1468" s="7"/>
      <c r="G1468" s="7"/>
      <c r="H1468" s="15"/>
      <c r="I1468" s="16"/>
      <c r="J1468" s="7"/>
    </row>
    <row r="1469">
      <c r="A1469" s="7"/>
      <c r="B1469" s="7"/>
      <c r="C1469" s="7"/>
      <c r="D1469" s="7"/>
      <c r="E1469" s="7"/>
      <c r="F1469" s="7"/>
      <c r="G1469" s="7"/>
      <c r="H1469" s="15"/>
      <c r="I1469" s="16"/>
      <c r="J1469" s="7"/>
    </row>
    <row r="1470">
      <c r="A1470" s="7"/>
      <c r="B1470" s="7"/>
      <c r="C1470" s="7"/>
      <c r="D1470" s="7"/>
      <c r="E1470" s="7"/>
      <c r="F1470" s="7"/>
      <c r="G1470" s="7"/>
      <c r="H1470" s="15"/>
      <c r="I1470" s="16"/>
      <c r="J1470" s="7"/>
    </row>
    <row r="1471">
      <c r="A1471" s="7"/>
      <c r="B1471" s="7"/>
      <c r="C1471" s="7"/>
      <c r="D1471" s="7"/>
      <c r="E1471" s="7"/>
      <c r="F1471" s="7"/>
      <c r="G1471" s="7"/>
      <c r="H1471" s="15"/>
      <c r="I1471" s="16"/>
      <c r="J1471" s="7"/>
    </row>
    <row r="1472">
      <c r="A1472" s="7"/>
      <c r="B1472" s="7"/>
      <c r="C1472" s="7"/>
      <c r="D1472" s="7"/>
      <c r="E1472" s="7"/>
      <c r="F1472" s="7"/>
      <c r="G1472" s="7"/>
      <c r="H1472" s="15"/>
      <c r="I1472" s="16"/>
      <c r="J1472" s="7"/>
    </row>
    <row r="1473">
      <c r="A1473" s="7"/>
      <c r="B1473" s="7"/>
      <c r="C1473" s="7"/>
      <c r="D1473" s="7"/>
      <c r="E1473" s="7"/>
      <c r="F1473" s="7"/>
      <c r="G1473" s="7"/>
      <c r="H1473" s="15"/>
      <c r="I1473" s="16"/>
      <c r="J1473" s="7"/>
    </row>
    <row r="1474">
      <c r="A1474" s="7"/>
      <c r="B1474" s="7"/>
      <c r="C1474" s="7"/>
      <c r="D1474" s="7"/>
      <c r="E1474" s="7"/>
      <c r="F1474" s="7"/>
      <c r="G1474" s="7"/>
      <c r="H1474" s="15"/>
      <c r="I1474" s="16"/>
      <c r="J1474" s="7"/>
    </row>
    <row r="1475">
      <c r="A1475" s="7"/>
      <c r="B1475" s="7"/>
      <c r="C1475" s="7"/>
      <c r="D1475" s="7"/>
      <c r="E1475" s="7"/>
      <c r="F1475" s="7"/>
      <c r="G1475" s="7"/>
      <c r="H1475" s="15"/>
      <c r="I1475" s="16"/>
      <c r="J1475" s="7"/>
    </row>
    <row r="1476">
      <c r="A1476" s="7"/>
      <c r="B1476" s="7"/>
      <c r="C1476" s="7"/>
      <c r="D1476" s="7"/>
      <c r="E1476" s="7"/>
      <c r="F1476" s="7"/>
      <c r="G1476" s="7"/>
      <c r="H1476" s="15"/>
      <c r="I1476" s="16"/>
      <c r="J1476" s="7"/>
    </row>
    <row r="1477">
      <c r="A1477" s="7"/>
      <c r="B1477" s="7"/>
      <c r="C1477" s="7"/>
      <c r="D1477" s="7"/>
      <c r="E1477" s="7"/>
      <c r="F1477" s="7"/>
      <c r="G1477" s="7"/>
      <c r="H1477" s="15"/>
      <c r="I1477" s="16"/>
      <c r="J1477" s="7"/>
    </row>
    <row r="1478">
      <c r="A1478" s="7"/>
      <c r="B1478" s="7"/>
      <c r="C1478" s="7"/>
      <c r="D1478" s="7"/>
      <c r="E1478" s="7"/>
      <c r="F1478" s="7"/>
      <c r="G1478" s="7"/>
      <c r="H1478" s="15"/>
      <c r="I1478" s="16"/>
      <c r="J1478" s="7"/>
    </row>
    <row r="1479">
      <c r="A1479" s="7"/>
      <c r="B1479" s="7"/>
      <c r="C1479" s="7"/>
      <c r="D1479" s="7"/>
      <c r="E1479" s="7"/>
      <c r="F1479" s="7"/>
      <c r="G1479" s="7"/>
      <c r="H1479" s="15"/>
      <c r="I1479" s="16"/>
      <c r="J1479" s="7"/>
    </row>
    <row r="1480">
      <c r="A1480" s="7"/>
      <c r="B1480" s="7"/>
      <c r="C1480" s="7"/>
      <c r="D1480" s="7"/>
      <c r="E1480" s="7"/>
      <c r="F1480" s="7"/>
      <c r="G1480" s="7"/>
      <c r="H1480" s="15"/>
      <c r="I1480" s="16"/>
      <c r="J1480" s="7"/>
    </row>
    <row r="1481">
      <c r="A1481" s="7"/>
      <c r="B1481" s="7"/>
      <c r="C1481" s="7"/>
      <c r="D1481" s="7"/>
      <c r="E1481" s="7"/>
      <c r="F1481" s="7"/>
      <c r="G1481" s="7"/>
      <c r="H1481" s="15"/>
      <c r="I1481" s="16"/>
      <c r="J1481" s="7"/>
    </row>
    <row r="1482">
      <c r="A1482" s="7"/>
      <c r="B1482" s="7"/>
      <c r="C1482" s="7"/>
      <c r="D1482" s="7"/>
      <c r="E1482" s="7"/>
      <c r="F1482" s="7"/>
      <c r="G1482" s="7"/>
      <c r="H1482" s="15"/>
      <c r="I1482" s="16"/>
      <c r="J1482" s="7"/>
    </row>
    <row r="1483">
      <c r="A1483" s="7"/>
      <c r="B1483" s="7"/>
      <c r="C1483" s="7"/>
      <c r="D1483" s="7"/>
      <c r="E1483" s="7"/>
      <c r="F1483" s="7"/>
      <c r="G1483" s="7"/>
      <c r="H1483" s="15"/>
      <c r="I1483" s="16"/>
      <c r="J1483" s="7"/>
    </row>
    <row r="1484">
      <c r="A1484" s="7"/>
      <c r="B1484" s="7"/>
      <c r="C1484" s="7"/>
      <c r="D1484" s="7"/>
      <c r="E1484" s="7"/>
      <c r="F1484" s="7"/>
      <c r="G1484" s="7"/>
      <c r="H1484" s="15"/>
      <c r="I1484" s="16"/>
      <c r="J1484" s="7"/>
    </row>
    <row r="1485">
      <c r="A1485" s="7"/>
      <c r="B1485" s="7"/>
      <c r="C1485" s="7"/>
      <c r="D1485" s="7"/>
      <c r="E1485" s="7"/>
      <c r="F1485" s="7"/>
      <c r="G1485" s="7"/>
      <c r="H1485" s="15"/>
      <c r="I1485" s="16"/>
      <c r="J1485" s="7"/>
    </row>
    <row r="1486">
      <c r="A1486" s="7"/>
      <c r="B1486" s="7"/>
      <c r="C1486" s="7"/>
      <c r="D1486" s="7"/>
      <c r="E1486" s="7"/>
      <c r="F1486" s="7"/>
      <c r="G1486" s="7"/>
      <c r="H1486" s="15"/>
      <c r="I1486" s="16"/>
      <c r="J1486" s="7"/>
    </row>
    <row r="1487">
      <c r="A1487" s="7"/>
      <c r="B1487" s="7"/>
      <c r="C1487" s="7"/>
      <c r="D1487" s="7"/>
      <c r="E1487" s="7"/>
      <c r="F1487" s="7"/>
      <c r="G1487" s="7"/>
      <c r="H1487" s="15"/>
      <c r="I1487" s="16"/>
      <c r="J1487" s="7"/>
    </row>
    <row r="1488">
      <c r="A1488" s="7"/>
      <c r="B1488" s="7"/>
      <c r="C1488" s="7"/>
      <c r="D1488" s="7"/>
      <c r="E1488" s="7"/>
      <c r="F1488" s="7"/>
      <c r="G1488" s="7"/>
      <c r="H1488" s="15"/>
      <c r="I1488" s="16"/>
      <c r="J1488" s="7"/>
    </row>
    <row r="1489">
      <c r="A1489" s="7"/>
      <c r="B1489" s="7"/>
      <c r="C1489" s="7"/>
      <c r="D1489" s="7"/>
      <c r="E1489" s="7"/>
      <c r="F1489" s="7"/>
      <c r="G1489" s="7"/>
      <c r="H1489" s="15"/>
      <c r="I1489" s="16"/>
      <c r="J1489" s="7"/>
    </row>
    <row r="1490">
      <c r="A1490" s="7"/>
      <c r="B1490" s="7"/>
      <c r="C1490" s="7"/>
      <c r="D1490" s="7"/>
      <c r="E1490" s="7"/>
      <c r="F1490" s="7"/>
      <c r="G1490" s="7"/>
      <c r="H1490" s="15"/>
      <c r="I1490" s="16"/>
      <c r="J1490" s="7"/>
    </row>
    <row r="1491">
      <c r="A1491" s="7"/>
      <c r="B1491" s="7"/>
      <c r="C1491" s="7"/>
      <c r="D1491" s="7"/>
      <c r="E1491" s="7"/>
      <c r="F1491" s="7"/>
      <c r="G1491" s="7"/>
      <c r="H1491" s="15"/>
      <c r="I1491" s="16"/>
      <c r="J1491" s="7"/>
    </row>
    <row r="1492">
      <c r="A1492" s="7"/>
      <c r="B1492" s="7"/>
      <c r="C1492" s="7"/>
      <c r="D1492" s="7"/>
      <c r="E1492" s="7"/>
      <c r="F1492" s="7"/>
      <c r="G1492" s="7"/>
      <c r="H1492" s="15"/>
      <c r="I1492" s="16"/>
      <c r="J1492" s="7"/>
    </row>
    <row r="1493">
      <c r="A1493" s="7"/>
      <c r="B1493" s="7"/>
      <c r="C1493" s="7"/>
      <c r="D1493" s="7"/>
      <c r="E1493" s="7"/>
      <c r="F1493" s="7"/>
      <c r="G1493" s="7"/>
      <c r="H1493" s="15"/>
      <c r="I1493" s="16"/>
      <c r="J1493" s="7"/>
    </row>
    <row r="1494">
      <c r="A1494" s="7"/>
      <c r="B1494" s="7"/>
      <c r="C1494" s="7"/>
      <c r="D1494" s="7"/>
      <c r="E1494" s="7"/>
      <c r="F1494" s="7"/>
      <c r="G1494" s="7"/>
      <c r="H1494" s="15"/>
      <c r="I1494" s="16"/>
      <c r="J1494" s="7"/>
    </row>
    <row r="1495">
      <c r="A1495" s="7"/>
      <c r="B1495" s="7"/>
      <c r="C1495" s="7"/>
      <c r="D1495" s="7"/>
      <c r="E1495" s="7"/>
      <c r="F1495" s="7"/>
      <c r="G1495" s="7"/>
      <c r="H1495" s="15"/>
      <c r="I1495" s="16"/>
      <c r="J1495" s="7"/>
    </row>
    <row r="1496">
      <c r="A1496" s="7"/>
      <c r="B1496" s="7"/>
      <c r="C1496" s="7"/>
      <c r="D1496" s="7"/>
      <c r="E1496" s="7"/>
      <c r="F1496" s="7"/>
      <c r="G1496" s="7"/>
      <c r="H1496" s="15"/>
      <c r="I1496" s="16"/>
      <c r="J1496" s="7"/>
    </row>
    <row r="1497">
      <c r="A1497" s="7"/>
      <c r="B1497" s="7"/>
      <c r="C1497" s="7"/>
      <c r="D1497" s="7"/>
      <c r="E1497" s="7"/>
      <c r="F1497" s="7"/>
      <c r="G1497" s="7"/>
      <c r="H1497" s="15"/>
      <c r="I1497" s="16"/>
      <c r="J1497" s="7"/>
    </row>
    <row r="1498">
      <c r="A1498" s="7"/>
      <c r="B1498" s="7"/>
      <c r="C1498" s="7"/>
      <c r="D1498" s="7"/>
      <c r="E1498" s="7"/>
      <c r="F1498" s="7"/>
      <c r="G1498" s="7"/>
      <c r="H1498" s="15"/>
      <c r="I1498" s="16"/>
      <c r="J1498" s="7"/>
    </row>
    <row r="1499">
      <c r="A1499" s="7"/>
      <c r="B1499" s="7"/>
      <c r="C1499" s="7"/>
      <c r="D1499" s="7"/>
      <c r="E1499" s="7"/>
      <c r="F1499" s="7"/>
      <c r="G1499" s="7"/>
      <c r="H1499" s="15"/>
      <c r="I1499" s="16"/>
      <c r="J1499" s="7"/>
    </row>
    <row r="1500">
      <c r="A1500" s="7"/>
      <c r="B1500" s="7"/>
      <c r="C1500" s="7"/>
      <c r="D1500" s="7"/>
      <c r="E1500" s="7"/>
      <c r="F1500" s="7"/>
      <c r="G1500" s="7"/>
      <c r="H1500" s="15"/>
      <c r="I1500" s="16"/>
      <c r="J1500" s="7"/>
    </row>
    <row r="1501">
      <c r="A1501" s="7"/>
      <c r="B1501" s="7"/>
      <c r="C1501" s="7"/>
      <c r="D1501" s="7"/>
      <c r="E1501" s="7"/>
      <c r="F1501" s="7"/>
      <c r="G1501" s="7"/>
      <c r="H1501" s="15"/>
      <c r="I1501" s="16"/>
      <c r="J1501" s="7"/>
    </row>
    <row r="1502">
      <c r="A1502" s="7"/>
      <c r="B1502" s="7"/>
      <c r="C1502" s="7"/>
      <c r="D1502" s="7"/>
      <c r="E1502" s="7"/>
      <c r="F1502" s="7"/>
      <c r="G1502" s="7"/>
      <c r="H1502" s="15"/>
      <c r="I1502" s="16"/>
      <c r="J1502" s="7"/>
    </row>
    <row r="1503">
      <c r="A1503" s="7"/>
      <c r="B1503" s="7"/>
      <c r="C1503" s="7"/>
      <c r="D1503" s="7"/>
      <c r="E1503" s="7"/>
      <c r="F1503" s="7"/>
      <c r="G1503" s="7"/>
      <c r="H1503" s="15"/>
      <c r="I1503" s="16"/>
      <c r="J1503" s="7"/>
    </row>
    <row r="1504">
      <c r="A1504" s="7"/>
      <c r="B1504" s="7"/>
      <c r="C1504" s="7"/>
      <c r="D1504" s="7"/>
      <c r="E1504" s="7"/>
      <c r="F1504" s="7"/>
      <c r="G1504" s="7"/>
      <c r="H1504" s="15"/>
      <c r="I1504" s="16"/>
      <c r="J1504" s="7"/>
    </row>
    <row r="1505">
      <c r="A1505" s="7"/>
      <c r="B1505" s="7"/>
      <c r="C1505" s="7"/>
      <c r="D1505" s="7"/>
      <c r="E1505" s="7"/>
      <c r="F1505" s="7"/>
      <c r="G1505" s="7"/>
      <c r="H1505" s="15"/>
      <c r="I1505" s="16"/>
      <c r="J1505" s="7"/>
    </row>
    <row r="1506">
      <c r="A1506" s="7"/>
      <c r="B1506" s="7"/>
      <c r="C1506" s="7"/>
      <c r="D1506" s="7"/>
      <c r="E1506" s="7"/>
      <c r="F1506" s="7"/>
      <c r="G1506" s="7"/>
      <c r="H1506" s="15"/>
      <c r="I1506" s="16"/>
      <c r="J1506" s="7"/>
    </row>
    <row r="1507">
      <c r="A1507" s="7"/>
      <c r="B1507" s="7"/>
      <c r="C1507" s="7"/>
      <c r="D1507" s="7"/>
      <c r="E1507" s="7"/>
      <c r="F1507" s="7"/>
      <c r="G1507" s="7"/>
      <c r="H1507" s="15"/>
      <c r="I1507" s="16"/>
      <c r="J1507" s="7"/>
    </row>
    <row r="1508">
      <c r="A1508" s="7"/>
      <c r="B1508" s="7"/>
      <c r="C1508" s="7"/>
      <c r="D1508" s="7"/>
      <c r="E1508" s="7"/>
      <c r="F1508" s="7"/>
      <c r="G1508" s="7"/>
      <c r="H1508" s="15"/>
      <c r="I1508" s="16"/>
      <c r="J1508" s="7"/>
    </row>
    <row r="1509">
      <c r="A1509" s="7"/>
      <c r="B1509" s="7"/>
      <c r="C1509" s="7"/>
      <c r="D1509" s="7"/>
      <c r="E1509" s="7"/>
      <c r="F1509" s="7"/>
      <c r="G1509" s="7"/>
      <c r="H1509" s="15"/>
      <c r="I1509" s="16"/>
      <c r="J1509" s="7"/>
    </row>
    <row r="1510">
      <c r="A1510" s="7"/>
      <c r="B1510" s="7"/>
      <c r="C1510" s="7"/>
      <c r="D1510" s="7"/>
      <c r="E1510" s="7"/>
      <c r="F1510" s="7"/>
      <c r="G1510" s="7"/>
      <c r="H1510" s="15"/>
      <c r="I1510" s="16"/>
      <c r="J1510" s="7"/>
    </row>
    <row r="1511">
      <c r="A1511" s="7"/>
      <c r="B1511" s="7"/>
      <c r="C1511" s="7"/>
      <c r="D1511" s="7"/>
      <c r="E1511" s="7"/>
      <c r="F1511" s="7"/>
      <c r="G1511" s="7"/>
      <c r="H1511" s="15"/>
      <c r="I1511" s="16"/>
      <c r="J1511" s="7"/>
    </row>
    <row r="1512">
      <c r="A1512" s="7"/>
      <c r="B1512" s="7"/>
      <c r="C1512" s="7"/>
      <c r="D1512" s="7"/>
      <c r="E1512" s="7"/>
      <c r="F1512" s="7"/>
      <c r="G1512" s="7"/>
      <c r="H1512" s="15"/>
      <c r="I1512" s="16"/>
      <c r="J1512" s="7"/>
    </row>
    <row r="1513">
      <c r="A1513" s="7"/>
      <c r="B1513" s="7"/>
      <c r="C1513" s="7"/>
      <c r="D1513" s="7"/>
      <c r="E1513" s="7"/>
      <c r="F1513" s="7"/>
      <c r="G1513" s="7"/>
      <c r="H1513" s="15"/>
      <c r="I1513" s="16"/>
      <c r="J1513" s="7"/>
    </row>
    <row r="1514">
      <c r="A1514" s="7"/>
      <c r="B1514" s="7"/>
      <c r="C1514" s="7"/>
      <c r="D1514" s="7"/>
      <c r="E1514" s="7"/>
      <c r="F1514" s="7"/>
      <c r="G1514" s="7"/>
      <c r="H1514" s="15"/>
      <c r="I1514" s="16"/>
      <c r="J1514" s="7"/>
    </row>
    <row r="1515">
      <c r="A1515" s="7"/>
      <c r="B1515" s="7"/>
      <c r="C1515" s="7"/>
      <c r="D1515" s="7"/>
      <c r="E1515" s="7"/>
      <c r="F1515" s="7"/>
      <c r="G1515" s="7"/>
      <c r="H1515" s="15"/>
      <c r="I1515" s="16"/>
      <c r="J1515" s="7"/>
    </row>
    <row r="1516">
      <c r="A1516" s="7"/>
      <c r="B1516" s="7"/>
      <c r="C1516" s="7"/>
      <c r="D1516" s="7"/>
      <c r="E1516" s="7"/>
      <c r="F1516" s="7"/>
      <c r="G1516" s="7"/>
      <c r="H1516" s="15"/>
      <c r="I1516" s="16"/>
      <c r="J1516" s="7"/>
    </row>
    <row r="1517">
      <c r="A1517" s="7"/>
      <c r="B1517" s="7"/>
      <c r="C1517" s="7"/>
      <c r="D1517" s="7"/>
      <c r="E1517" s="7"/>
      <c r="F1517" s="7"/>
      <c r="G1517" s="7"/>
      <c r="H1517" s="15"/>
      <c r="I1517" s="16"/>
      <c r="J1517" s="7"/>
    </row>
    <row r="1518">
      <c r="A1518" s="7"/>
      <c r="B1518" s="7"/>
      <c r="C1518" s="7"/>
      <c r="D1518" s="7"/>
      <c r="E1518" s="7"/>
      <c r="F1518" s="7"/>
      <c r="G1518" s="7"/>
      <c r="H1518" s="15"/>
      <c r="I1518" s="16"/>
      <c r="J1518" s="7"/>
    </row>
    <row r="1519">
      <c r="A1519" s="7"/>
      <c r="B1519" s="7"/>
      <c r="C1519" s="7"/>
      <c r="D1519" s="7"/>
      <c r="E1519" s="7"/>
      <c r="F1519" s="7"/>
      <c r="G1519" s="7"/>
      <c r="H1519" s="15"/>
      <c r="I1519" s="16"/>
      <c r="J1519" s="7"/>
    </row>
    <row r="1520">
      <c r="A1520" s="7"/>
      <c r="B1520" s="7"/>
      <c r="C1520" s="7"/>
      <c r="D1520" s="7"/>
      <c r="E1520" s="7"/>
      <c r="F1520" s="7"/>
      <c r="G1520" s="7"/>
      <c r="H1520" s="15"/>
      <c r="I1520" s="16"/>
      <c r="J1520" s="7"/>
    </row>
    <row r="1521">
      <c r="A1521" s="7"/>
      <c r="B1521" s="7"/>
      <c r="C1521" s="7"/>
      <c r="D1521" s="7"/>
      <c r="E1521" s="7"/>
      <c r="F1521" s="7"/>
      <c r="G1521" s="7"/>
      <c r="H1521" s="15"/>
      <c r="I1521" s="16"/>
      <c r="J1521" s="7"/>
    </row>
    <row r="1522">
      <c r="A1522" s="7"/>
      <c r="B1522" s="7"/>
      <c r="C1522" s="7"/>
      <c r="D1522" s="7"/>
      <c r="E1522" s="7"/>
      <c r="F1522" s="7"/>
      <c r="G1522" s="7"/>
      <c r="H1522" s="15"/>
      <c r="I1522" s="16"/>
      <c r="J1522" s="7"/>
    </row>
    <row r="1523">
      <c r="A1523" s="7"/>
      <c r="B1523" s="7"/>
      <c r="C1523" s="7"/>
      <c r="D1523" s="7"/>
      <c r="E1523" s="7"/>
      <c r="F1523" s="7"/>
      <c r="G1523" s="7"/>
      <c r="H1523" s="15"/>
      <c r="I1523" s="16"/>
      <c r="J1523" s="7"/>
    </row>
    <row r="1524">
      <c r="A1524" s="7"/>
      <c r="B1524" s="7"/>
      <c r="C1524" s="7"/>
      <c r="D1524" s="7"/>
      <c r="E1524" s="7"/>
      <c r="F1524" s="7"/>
      <c r="G1524" s="7"/>
      <c r="H1524" s="15"/>
      <c r="I1524" s="16"/>
      <c r="J1524" s="7"/>
    </row>
    <row r="1525">
      <c r="A1525" s="7"/>
      <c r="B1525" s="7"/>
      <c r="C1525" s="7"/>
      <c r="D1525" s="7"/>
      <c r="E1525" s="7"/>
      <c r="F1525" s="7"/>
      <c r="G1525" s="7"/>
      <c r="H1525" s="15"/>
      <c r="I1525" s="16"/>
      <c r="J1525" s="7"/>
    </row>
    <row r="1526">
      <c r="A1526" s="7"/>
      <c r="B1526" s="7"/>
      <c r="C1526" s="7"/>
      <c r="D1526" s="7"/>
      <c r="E1526" s="7"/>
      <c r="F1526" s="7"/>
      <c r="G1526" s="7"/>
      <c r="H1526" s="15"/>
      <c r="I1526" s="16"/>
      <c r="J1526" s="7"/>
    </row>
    <row r="1527">
      <c r="A1527" s="7"/>
      <c r="B1527" s="7"/>
      <c r="C1527" s="7"/>
      <c r="D1527" s="7"/>
      <c r="E1527" s="7"/>
      <c r="F1527" s="7"/>
      <c r="G1527" s="7"/>
      <c r="H1527" s="15"/>
      <c r="I1527" s="16"/>
      <c r="J1527" s="7"/>
    </row>
    <row r="1528">
      <c r="A1528" s="7"/>
      <c r="B1528" s="7"/>
      <c r="C1528" s="7"/>
      <c r="D1528" s="7"/>
      <c r="E1528" s="7"/>
      <c r="F1528" s="7"/>
      <c r="G1528" s="7"/>
      <c r="H1528" s="15"/>
      <c r="I1528" s="16"/>
      <c r="J1528" s="7"/>
    </row>
    <row r="1529">
      <c r="A1529" s="7"/>
      <c r="B1529" s="7"/>
      <c r="C1529" s="7"/>
      <c r="D1529" s="7"/>
      <c r="E1529" s="7"/>
      <c r="F1529" s="7"/>
      <c r="G1529" s="7"/>
      <c r="H1529" s="15"/>
      <c r="I1529" s="16"/>
      <c r="J1529" s="7"/>
    </row>
    <row r="1530">
      <c r="A1530" s="7"/>
      <c r="B1530" s="7"/>
      <c r="C1530" s="7"/>
      <c r="D1530" s="7"/>
      <c r="E1530" s="7"/>
      <c r="F1530" s="7"/>
      <c r="G1530" s="7"/>
      <c r="H1530" s="15"/>
      <c r="I1530" s="16"/>
      <c r="J1530" s="7"/>
    </row>
    <row r="1531">
      <c r="A1531" s="7"/>
      <c r="B1531" s="7"/>
      <c r="C1531" s="7"/>
      <c r="D1531" s="7"/>
      <c r="E1531" s="7"/>
      <c r="F1531" s="7"/>
      <c r="G1531" s="7"/>
      <c r="H1531" s="15"/>
      <c r="I1531" s="16"/>
      <c r="J1531" s="7"/>
    </row>
    <row r="1532">
      <c r="A1532" s="7"/>
      <c r="B1532" s="7"/>
      <c r="C1532" s="7"/>
      <c r="D1532" s="7"/>
      <c r="E1532" s="7"/>
      <c r="F1532" s="7"/>
      <c r="G1532" s="7"/>
      <c r="H1532" s="15"/>
      <c r="I1532" s="16"/>
      <c r="J1532" s="7"/>
    </row>
    <row r="1533">
      <c r="A1533" s="7"/>
      <c r="B1533" s="7"/>
      <c r="C1533" s="7"/>
      <c r="D1533" s="7"/>
      <c r="E1533" s="7"/>
      <c r="F1533" s="7"/>
      <c r="G1533" s="7"/>
      <c r="H1533" s="15"/>
      <c r="I1533" s="16"/>
      <c r="J1533" s="7"/>
    </row>
    <row r="1534">
      <c r="A1534" s="7"/>
      <c r="B1534" s="7"/>
      <c r="C1534" s="7"/>
      <c r="D1534" s="7"/>
      <c r="E1534" s="7"/>
      <c r="F1534" s="7"/>
      <c r="G1534" s="7"/>
      <c r="H1534" s="15"/>
      <c r="I1534" s="16"/>
      <c r="J1534" s="7"/>
    </row>
    <row r="1535">
      <c r="A1535" s="7"/>
      <c r="B1535" s="7"/>
      <c r="C1535" s="7"/>
      <c r="D1535" s="7"/>
      <c r="E1535" s="7"/>
      <c r="F1535" s="7"/>
      <c r="G1535" s="7"/>
      <c r="H1535" s="15"/>
      <c r="I1535" s="16"/>
      <c r="J1535" s="7"/>
    </row>
    <row r="1536">
      <c r="A1536" s="7"/>
      <c r="B1536" s="7"/>
      <c r="C1536" s="7"/>
      <c r="D1536" s="7"/>
      <c r="E1536" s="7"/>
      <c r="F1536" s="7"/>
      <c r="G1536" s="7"/>
      <c r="H1536" s="15"/>
      <c r="I1536" s="16"/>
      <c r="J1536" s="7"/>
    </row>
    <row r="1537">
      <c r="A1537" s="7"/>
      <c r="B1537" s="7"/>
      <c r="C1537" s="7"/>
      <c r="D1537" s="7"/>
      <c r="E1537" s="7"/>
      <c r="F1537" s="7"/>
      <c r="G1537" s="7"/>
      <c r="H1537" s="15"/>
      <c r="I1537" s="16"/>
      <c r="J1537" s="7"/>
    </row>
    <row r="1538">
      <c r="A1538" s="7"/>
      <c r="B1538" s="7"/>
      <c r="C1538" s="7"/>
      <c r="D1538" s="7"/>
      <c r="E1538" s="7"/>
      <c r="F1538" s="7"/>
      <c r="G1538" s="7"/>
      <c r="H1538" s="15"/>
      <c r="I1538" s="16"/>
      <c r="J1538" s="7"/>
    </row>
    <row r="1539">
      <c r="A1539" s="7"/>
      <c r="B1539" s="7"/>
      <c r="C1539" s="7"/>
      <c r="D1539" s="7"/>
      <c r="E1539" s="7"/>
      <c r="F1539" s="7"/>
      <c r="G1539" s="7"/>
      <c r="H1539" s="15"/>
      <c r="I1539" s="16"/>
      <c r="J1539" s="7"/>
    </row>
    <row r="1540">
      <c r="A1540" s="7"/>
      <c r="B1540" s="7"/>
      <c r="C1540" s="7"/>
      <c r="D1540" s="7"/>
      <c r="E1540" s="7"/>
      <c r="F1540" s="7"/>
      <c r="G1540" s="7"/>
      <c r="H1540" s="15"/>
      <c r="I1540" s="16"/>
      <c r="J1540" s="7"/>
    </row>
    <row r="1541">
      <c r="A1541" s="7"/>
      <c r="B1541" s="7"/>
      <c r="C1541" s="7"/>
      <c r="D1541" s="7"/>
      <c r="E1541" s="7"/>
      <c r="F1541" s="7"/>
      <c r="G1541" s="7"/>
      <c r="H1541" s="15"/>
      <c r="I1541" s="16"/>
      <c r="J1541" s="7"/>
    </row>
    <row r="1542">
      <c r="A1542" s="7"/>
      <c r="B1542" s="7"/>
      <c r="C1542" s="7"/>
      <c r="D1542" s="7"/>
      <c r="E1542" s="7"/>
      <c r="F1542" s="7"/>
      <c r="G1542" s="7"/>
      <c r="H1542" s="15"/>
      <c r="I1542" s="16"/>
      <c r="J1542" s="7"/>
    </row>
    <row r="1543">
      <c r="A1543" s="7"/>
      <c r="B1543" s="7"/>
      <c r="C1543" s="7"/>
      <c r="D1543" s="7"/>
      <c r="E1543" s="7"/>
      <c r="F1543" s="7"/>
      <c r="G1543" s="7"/>
      <c r="H1543" s="15"/>
      <c r="I1543" s="16"/>
      <c r="J1543" s="7"/>
    </row>
    <row r="1544">
      <c r="A1544" s="7"/>
      <c r="B1544" s="7"/>
      <c r="C1544" s="7"/>
      <c r="D1544" s="7"/>
      <c r="E1544" s="7"/>
      <c r="F1544" s="7"/>
      <c r="G1544" s="7"/>
      <c r="H1544" s="15"/>
      <c r="I1544" s="16"/>
      <c r="J1544" s="7"/>
    </row>
    <row r="1545">
      <c r="A1545" s="7"/>
      <c r="B1545" s="7"/>
      <c r="C1545" s="7"/>
      <c r="D1545" s="7"/>
      <c r="E1545" s="7"/>
      <c r="F1545" s="7"/>
      <c r="G1545" s="7"/>
      <c r="H1545" s="15"/>
      <c r="I1545" s="16"/>
      <c r="J1545" s="7"/>
    </row>
    <row r="1546">
      <c r="A1546" s="7"/>
      <c r="B1546" s="7"/>
      <c r="C1546" s="7"/>
      <c r="D1546" s="7"/>
      <c r="E1546" s="7"/>
      <c r="F1546" s="7"/>
      <c r="G1546" s="7"/>
      <c r="H1546" s="15"/>
      <c r="I1546" s="16"/>
      <c r="J1546" s="7"/>
    </row>
    <row r="1547">
      <c r="A1547" s="7"/>
      <c r="B1547" s="7"/>
      <c r="C1547" s="7"/>
      <c r="D1547" s="7"/>
      <c r="E1547" s="7"/>
      <c r="F1547" s="7"/>
      <c r="G1547" s="7"/>
      <c r="H1547" s="15"/>
      <c r="I1547" s="16"/>
      <c r="J1547" s="7"/>
    </row>
    <row r="1548">
      <c r="A1548" s="7"/>
      <c r="B1548" s="7"/>
      <c r="C1548" s="7"/>
      <c r="D1548" s="7"/>
      <c r="E1548" s="7"/>
      <c r="F1548" s="7"/>
      <c r="G1548" s="7"/>
      <c r="H1548" s="15"/>
      <c r="I1548" s="16"/>
      <c r="J1548" s="7"/>
    </row>
    <row r="1549">
      <c r="A1549" s="7"/>
      <c r="B1549" s="7"/>
      <c r="C1549" s="7"/>
      <c r="D1549" s="7"/>
      <c r="E1549" s="7"/>
      <c r="F1549" s="7"/>
      <c r="G1549" s="7"/>
      <c r="H1549" s="15"/>
      <c r="I1549" s="16"/>
      <c r="J1549" s="7"/>
    </row>
    <row r="1550">
      <c r="A1550" s="7"/>
      <c r="B1550" s="7"/>
      <c r="C1550" s="7"/>
      <c r="D1550" s="7"/>
      <c r="E1550" s="7"/>
      <c r="F1550" s="7"/>
      <c r="G1550" s="7"/>
      <c r="H1550" s="15"/>
      <c r="I1550" s="16"/>
      <c r="J1550" s="7"/>
    </row>
    <row r="1551">
      <c r="A1551" s="7"/>
      <c r="B1551" s="7"/>
      <c r="C1551" s="7"/>
      <c r="D1551" s="7"/>
      <c r="E1551" s="7"/>
      <c r="F1551" s="7"/>
      <c r="G1551" s="7"/>
      <c r="H1551" s="15"/>
      <c r="I1551" s="16"/>
      <c r="J1551" s="7"/>
    </row>
    <row r="1552">
      <c r="A1552" s="7"/>
      <c r="B1552" s="7"/>
      <c r="C1552" s="7"/>
      <c r="D1552" s="7"/>
      <c r="E1552" s="7"/>
      <c r="F1552" s="7"/>
      <c r="G1552" s="7"/>
      <c r="H1552" s="15"/>
      <c r="I1552" s="16"/>
      <c r="J1552" s="7"/>
    </row>
    <row r="1553">
      <c r="A1553" s="7"/>
      <c r="B1553" s="7"/>
      <c r="C1553" s="7"/>
      <c r="D1553" s="7"/>
      <c r="E1553" s="7"/>
      <c r="F1553" s="7"/>
      <c r="G1553" s="7"/>
      <c r="H1553" s="15"/>
      <c r="I1553" s="16"/>
      <c r="J1553" s="7"/>
    </row>
    <row r="1554">
      <c r="A1554" s="7"/>
      <c r="B1554" s="7"/>
      <c r="C1554" s="7"/>
      <c r="D1554" s="7"/>
      <c r="E1554" s="7"/>
      <c r="F1554" s="7"/>
      <c r="G1554" s="7"/>
      <c r="H1554" s="15"/>
      <c r="I1554" s="16"/>
      <c r="J1554" s="7"/>
    </row>
    <row r="1555">
      <c r="A1555" s="7"/>
      <c r="B1555" s="7"/>
      <c r="C1555" s="7"/>
      <c r="D1555" s="7"/>
      <c r="E1555" s="7"/>
      <c r="F1555" s="7"/>
      <c r="G1555" s="7"/>
      <c r="H1555" s="15"/>
      <c r="I1555" s="16"/>
      <c r="J1555" s="7"/>
    </row>
    <row r="1556">
      <c r="A1556" s="7"/>
      <c r="B1556" s="7"/>
      <c r="C1556" s="7"/>
      <c r="D1556" s="7"/>
      <c r="E1556" s="7"/>
      <c r="F1556" s="7"/>
      <c r="G1556" s="7"/>
      <c r="H1556" s="15"/>
      <c r="I1556" s="16"/>
      <c r="J1556" s="7"/>
    </row>
    <row r="1557">
      <c r="A1557" s="7"/>
      <c r="B1557" s="7"/>
      <c r="C1557" s="7"/>
      <c r="D1557" s="7"/>
      <c r="E1557" s="7"/>
      <c r="F1557" s="7"/>
      <c r="G1557" s="7"/>
      <c r="H1557" s="15"/>
      <c r="I1557" s="16"/>
      <c r="J1557" s="7"/>
    </row>
    <row r="1558">
      <c r="A1558" s="7"/>
      <c r="B1558" s="7"/>
      <c r="C1558" s="7"/>
      <c r="D1558" s="7"/>
      <c r="E1558" s="7"/>
      <c r="F1558" s="7"/>
      <c r="G1558" s="7"/>
      <c r="H1558" s="15"/>
      <c r="I1558" s="16"/>
      <c r="J1558" s="7"/>
    </row>
    <row r="1559">
      <c r="A1559" s="7"/>
      <c r="B1559" s="7"/>
      <c r="C1559" s="7"/>
      <c r="D1559" s="7"/>
      <c r="E1559" s="7"/>
      <c r="F1559" s="7"/>
      <c r="G1559" s="7"/>
      <c r="H1559" s="15"/>
      <c r="I1559" s="16"/>
      <c r="J1559" s="7"/>
    </row>
    <row r="1560">
      <c r="A1560" s="7"/>
      <c r="B1560" s="7"/>
      <c r="C1560" s="7"/>
      <c r="D1560" s="7"/>
      <c r="E1560" s="7"/>
      <c r="F1560" s="7"/>
      <c r="G1560" s="7"/>
      <c r="H1560" s="15"/>
      <c r="I1560" s="16"/>
      <c r="J1560" s="7"/>
    </row>
    <row r="1561">
      <c r="A1561" s="7"/>
      <c r="B1561" s="7"/>
      <c r="C1561" s="7"/>
      <c r="D1561" s="7"/>
      <c r="E1561" s="7"/>
      <c r="F1561" s="7"/>
      <c r="G1561" s="7"/>
      <c r="H1561" s="15"/>
      <c r="I1561" s="16"/>
      <c r="J1561" s="7"/>
    </row>
    <row r="1562">
      <c r="A1562" s="7"/>
      <c r="B1562" s="7"/>
      <c r="C1562" s="7"/>
      <c r="D1562" s="7"/>
      <c r="E1562" s="7"/>
      <c r="F1562" s="7"/>
      <c r="G1562" s="7"/>
      <c r="H1562" s="15"/>
      <c r="I1562" s="16"/>
      <c r="J1562" s="7"/>
    </row>
    <row r="1563">
      <c r="A1563" s="7"/>
      <c r="B1563" s="7"/>
      <c r="C1563" s="7"/>
      <c r="D1563" s="7"/>
      <c r="E1563" s="7"/>
      <c r="F1563" s="7"/>
      <c r="G1563" s="7"/>
      <c r="H1563" s="15"/>
      <c r="I1563" s="16"/>
      <c r="J1563" s="7"/>
    </row>
    <row r="1564">
      <c r="A1564" s="7"/>
      <c r="B1564" s="7"/>
      <c r="C1564" s="7"/>
      <c r="D1564" s="7"/>
      <c r="E1564" s="7"/>
      <c r="F1564" s="7"/>
      <c r="G1564" s="7"/>
      <c r="H1564" s="15"/>
      <c r="I1564" s="16"/>
      <c r="J1564" s="7"/>
    </row>
    <row r="1565">
      <c r="A1565" s="7"/>
      <c r="B1565" s="7"/>
      <c r="C1565" s="7"/>
      <c r="D1565" s="7"/>
      <c r="E1565" s="7"/>
      <c r="F1565" s="7"/>
      <c r="G1565" s="7"/>
      <c r="H1565" s="15"/>
      <c r="I1565" s="16"/>
      <c r="J1565" s="7"/>
    </row>
    <row r="1566">
      <c r="A1566" s="7"/>
      <c r="B1566" s="7"/>
      <c r="C1566" s="7"/>
      <c r="D1566" s="7"/>
      <c r="E1566" s="7"/>
      <c r="F1566" s="7"/>
      <c r="G1566" s="7"/>
      <c r="H1566" s="15"/>
      <c r="I1566" s="16"/>
      <c r="J1566" s="7"/>
    </row>
    <row r="1567">
      <c r="A1567" s="7"/>
      <c r="B1567" s="7"/>
      <c r="C1567" s="7"/>
      <c r="D1567" s="7"/>
      <c r="E1567" s="7"/>
      <c r="F1567" s="7"/>
      <c r="G1567" s="7"/>
      <c r="H1567" s="15"/>
      <c r="I1567" s="16"/>
      <c r="J1567" s="7"/>
    </row>
    <row r="1568">
      <c r="A1568" s="7"/>
      <c r="B1568" s="7"/>
      <c r="C1568" s="7"/>
      <c r="D1568" s="7"/>
      <c r="E1568" s="7"/>
      <c r="F1568" s="7"/>
      <c r="G1568" s="7"/>
      <c r="H1568" s="15"/>
      <c r="I1568" s="16"/>
      <c r="J1568" s="7"/>
    </row>
    <row r="1569">
      <c r="A1569" s="7"/>
      <c r="B1569" s="7"/>
      <c r="C1569" s="7"/>
      <c r="D1569" s="7"/>
      <c r="E1569" s="7"/>
      <c r="F1569" s="7"/>
      <c r="G1569" s="7"/>
      <c r="H1569" s="15"/>
      <c r="I1569" s="16"/>
      <c r="J1569" s="7"/>
    </row>
    <row r="1570">
      <c r="A1570" s="7"/>
      <c r="B1570" s="7"/>
      <c r="C1570" s="7"/>
      <c r="D1570" s="7"/>
      <c r="E1570" s="7"/>
      <c r="F1570" s="7"/>
      <c r="G1570" s="7"/>
      <c r="H1570" s="15"/>
      <c r="I1570" s="16"/>
      <c r="J1570" s="7"/>
    </row>
    <row r="1571">
      <c r="A1571" s="7"/>
      <c r="B1571" s="7"/>
      <c r="C1571" s="7"/>
      <c r="D1571" s="7"/>
      <c r="E1571" s="7"/>
      <c r="F1571" s="7"/>
      <c r="G1571" s="7"/>
      <c r="H1571" s="15"/>
      <c r="I1571" s="16"/>
      <c r="J1571" s="7"/>
    </row>
    <row r="1572">
      <c r="A1572" s="7"/>
      <c r="B1572" s="7"/>
      <c r="C1572" s="7"/>
      <c r="D1572" s="7"/>
      <c r="E1572" s="7"/>
      <c r="F1572" s="7"/>
      <c r="G1572" s="7"/>
      <c r="H1572" s="15"/>
      <c r="I1572" s="16"/>
      <c r="J1572" s="7"/>
    </row>
    <row r="1573">
      <c r="A1573" s="7"/>
      <c r="B1573" s="7"/>
      <c r="C1573" s="7"/>
      <c r="D1573" s="7"/>
      <c r="E1573" s="7"/>
      <c r="F1573" s="7"/>
      <c r="G1573" s="7"/>
      <c r="H1573" s="15"/>
      <c r="I1573" s="16"/>
      <c r="J1573" s="7"/>
    </row>
    <row r="1574">
      <c r="A1574" s="7"/>
      <c r="B1574" s="7"/>
      <c r="C1574" s="7"/>
      <c r="D1574" s="7"/>
      <c r="E1574" s="7"/>
      <c r="F1574" s="7"/>
      <c r="G1574" s="7"/>
      <c r="H1574" s="15"/>
      <c r="I1574" s="16"/>
      <c r="J1574" s="7"/>
    </row>
    <row r="1575">
      <c r="A1575" s="7"/>
      <c r="B1575" s="7"/>
      <c r="C1575" s="7"/>
      <c r="D1575" s="7"/>
      <c r="E1575" s="7"/>
      <c r="F1575" s="7"/>
      <c r="G1575" s="7"/>
      <c r="H1575" s="15"/>
      <c r="I1575" s="16"/>
      <c r="J1575" s="7"/>
    </row>
    <row r="1576">
      <c r="A1576" s="7"/>
      <c r="B1576" s="7"/>
      <c r="C1576" s="7"/>
      <c r="D1576" s="7"/>
      <c r="E1576" s="7"/>
      <c r="F1576" s="7"/>
      <c r="G1576" s="7"/>
      <c r="H1576" s="15"/>
      <c r="I1576" s="16"/>
      <c r="J1576" s="7"/>
    </row>
    <row r="1577">
      <c r="A1577" s="7"/>
      <c r="B1577" s="7"/>
      <c r="C1577" s="7"/>
      <c r="D1577" s="7"/>
      <c r="E1577" s="7"/>
      <c r="F1577" s="7"/>
      <c r="G1577" s="7"/>
      <c r="H1577" s="15"/>
      <c r="I1577" s="16"/>
      <c r="J1577" s="7"/>
    </row>
    <row r="1578">
      <c r="A1578" s="7"/>
      <c r="B1578" s="7"/>
      <c r="C1578" s="7"/>
      <c r="D1578" s="7"/>
      <c r="E1578" s="7"/>
      <c r="F1578" s="7"/>
      <c r="G1578" s="7"/>
      <c r="H1578" s="15"/>
      <c r="I1578" s="16"/>
      <c r="J1578" s="7"/>
    </row>
    <row r="1579">
      <c r="A1579" s="7"/>
      <c r="B1579" s="7"/>
      <c r="C1579" s="7"/>
      <c r="D1579" s="7"/>
      <c r="E1579" s="7"/>
      <c r="F1579" s="7"/>
      <c r="G1579" s="7"/>
      <c r="H1579" s="15"/>
      <c r="I1579" s="16"/>
      <c r="J1579" s="7"/>
    </row>
    <row r="1580">
      <c r="A1580" s="7"/>
      <c r="B1580" s="7"/>
      <c r="C1580" s="7"/>
      <c r="D1580" s="7"/>
      <c r="E1580" s="7"/>
      <c r="F1580" s="7"/>
      <c r="G1580" s="7"/>
      <c r="H1580" s="15"/>
      <c r="I1580" s="16"/>
      <c r="J1580" s="7"/>
    </row>
    <row r="1581">
      <c r="A1581" s="7"/>
      <c r="B1581" s="7"/>
      <c r="C1581" s="7"/>
      <c r="D1581" s="7"/>
      <c r="E1581" s="7"/>
      <c r="F1581" s="7"/>
      <c r="G1581" s="7"/>
      <c r="H1581" s="15"/>
      <c r="I1581" s="16"/>
      <c r="J1581" s="7"/>
    </row>
    <row r="1582">
      <c r="A1582" s="7"/>
      <c r="B1582" s="7"/>
      <c r="C1582" s="7"/>
      <c r="D1582" s="7"/>
      <c r="E1582" s="7"/>
      <c r="F1582" s="7"/>
      <c r="G1582" s="7"/>
      <c r="H1582" s="15"/>
      <c r="I1582" s="16"/>
      <c r="J1582" s="7"/>
    </row>
    <row r="1583">
      <c r="A1583" s="7"/>
      <c r="B1583" s="7"/>
      <c r="C1583" s="7"/>
      <c r="D1583" s="7"/>
      <c r="E1583" s="7"/>
      <c r="F1583" s="7"/>
      <c r="G1583" s="7"/>
      <c r="H1583" s="15"/>
      <c r="I1583" s="16"/>
      <c r="J1583" s="7"/>
    </row>
    <row r="1584">
      <c r="A1584" s="7"/>
      <c r="B1584" s="7"/>
      <c r="C1584" s="7"/>
      <c r="D1584" s="7"/>
      <c r="E1584" s="7"/>
      <c r="F1584" s="7"/>
      <c r="G1584" s="7"/>
      <c r="H1584" s="15"/>
      <c r="I1584" s="16"/>
      <c r="J1584" s="7"/>
    </row>
    <row r="1585">
      <c r="A1585" s="7"/>
      <c r="B1585" s="7"/>
      <c r="C1585" s="7"/>
      <c r="D1585" s="7"/>
      <c r="E1585" s="7"/>
      <c r="F1585" s="7"/>
      <c r="G1585" s="7"/>
      <c r="H1585" s="15"/>
      <c r="I1585" s="16"/>
      <c r="J1585" s="7"/>
    </row>
    <row r="1586">
      <c r="A1586" s="7"/>
      <c r="B1586" s="7"/>
      <c r="C1586" s="7"/>
      <c r="D1586" s="7"/>
      <c r="E1586" s="7"/>
      <c r="F1586" s="7"/>
      <c r="G1586" s="7"/>
      <c r="H1586" s="15"/>
      <c r="I1586" s="16"/>
      <c r="J1586" s="7"/>
    </row>
    <row r="1587">
      <c r="A1587" s="7"/>
      <c r="B1587" s="7"/>
      <c r="C1587" s="7"/>
      <c r="D1587" s="7"/>
      <c r="E1587" s="7"/>
      <c r="F1587" s="7"/>
      <c r="G1587" s="7"/>
      <c r="H1587" s="15"/>
      <c r="I1587" s="16"/>
      <c r="J1587" s="7"/>
    </row>
    <row r="1588">
      <c r="A1588" s="7"/>
      <c r="B1588" s="7"/>
      <c r="C1588" s="7"/>
      <c r="D1588" s="7"/>
      <c r="E1588" s="7"/>
      <c r="F1588" s="7"/>
      <c r="G1588" s="7"/>
      <c r="H1588" s="15"/>
      <c r="I1588" s="16"/>
      <c r="J1588" s="7"/>
    </row>
    <row r="1589">
      <c r="A1589" s="7"/>
      <c r="B1589" s="7"/>
      <c r="C1589" s="7"/>
      <c r="D1589" s="7"/>
      <c r="E1589" s="7"/>
      <c r="F1589" s="7"/>
      <c r="G1589" s="7"/>
      <c r="H1589" s="15"/>
      <c r="I1589" s="16"/>
      <c r="J1589" s="7"/>
    </row>
    <row r="1590">
      <c r="A1590" s="7"/>
      <c r="B1590" s="7"/>
      <c r="C1590" s="7"/>
      <c r="D1590" s="7"/>
      <c r="E1590" s="7"/>
      <c r="F1590" s="7"/>
      <c r="G1590" s="7"/>
      <c r="H1590" s="15"/>
      <c r="I1590" s="16"/>
      <c r="J1590" s="7"/>
    </row>
    <row r="1591">
      <c r="A1591" s="7"/>
      <c r="B1591" s="7"/>
      <c r="C1591" s="7"/>
      <c r="D1591" s="7"/>
      <c r="E1591" s="7"/>
      <c r="F1591" s="7"/>
      <c r="G1591" s="7"/>
      <c r="H1591" s="15"/>
      <c r="I1591" s="16"/>
      <c r="J1591" s="7"/>
    </row>
    <row r="1592">
      <c r="A1592" s="7"/>
      <c r="B1592" s="7"/>
      <c r="C1592" s="7"/>
      <c r="D1592" s="7"/>
      <c r="E1592" s="7"/>
      <c r="F1592" s="7"/>
      <c r="G1592" s="7"/>
      <c r="H1592" s="15"/>
      <c r="I1592" s="16"/>
      <c r="J1592" s="7"/>
    </row>
    <row r="1593">
      <c r="A1593" s="7"/>
      <c r="B1593" s="7"/>
      <c r="C1593" s="7"/>
      <c r="D1593" s="7"/>
      <c r="E1593" s="7"/>
      <c r="F1593" s="7"/>
      <c r="G1593" s="7"/>
      <c r="H1593" s="15"/>
      <c r="I1593" s="16"/>
      <c r="J1593" s="7"/>
    </row>
    <row r="1594">
      <c r="A1594" s="7"/>
      <c r="B1594" s="7"/>
      <c r="C1594" s="7"/>
      <c r="D1594" s="7"/>
      <c r="E1594" s="7"/>
      <c r="F1594" s="7"/>
      <c r="G1594" s="7"/>
      <c r="H1594" s="15"/>
      <c r="I1594" s="16"/>
      <c r="J1594" s="7"/>
    </row>
    <row r="1595">
      <c r="A1595" s="7"/>
      <c r="B1595" s="7"/>
      <c r="C1595" s="7"/>
      <c r="D1595" s="7"/>
      <c r="E1595" s="7"/>
      <c r="F1595" s="7"/>
      <c r="G1595" s="7"/>
      <c r="H1595" s="15"/>
      <c r="I1595" s="16"/>
      <c r="J1595" s="7"/>
    </row>
    <row r="1596">
      <c r="A1596" s="7"/>
      <c r="B1596" s="7"/>
      <c r="C1596" s="7"/>
      <c r="D1596" s="7"/>
      <c r="E1596" s="7"/>
      <c r="F1596" s="7"/>
      <c r="G1596" s="7"/>
      <c r="H1596" s="15"/>
      <c r="I1596" s="16"/>
      <c r="J1596" s="7"/>
    </row>
    <row r="1597">
      <c r="A1597" s="7"/>
      <c r="B1597" s="7"/>
      <c r="C1597" s="7"/>
      <c r="D1597" s="7"/>
      <c r="E1597" s="7"/>
      <c r="F1597" s="7"/>
      <c r="G1597" s="7"/>
      <c r="H1597" s="15"/>
      <c r="I1597" s="16"/>
      <c r="J1597" s="7"/>
    </row>
    <row r="1598">
      <c r="A1598" s="7"/>
      <c r="B1598" s="7"/>
      <c r="C1598" s="7"/>
      <c r="D1598" s="7"/>
      <c r="E1598" s="7"/>
      <c r="F1598" s="7"/>
      <c r="G1598" s="7"/>
      <c r="H1598" s="15"/>
      <c r="I1598" s="16"/>
      <c r="J1598" s="7"/>
    </row>
    <row r="1599">
      <c r="A1599" s="7"/>
      <c r="B1599" s="7"/>
      <c r="C1599" s="7"/>
      <c r="D1599" s="7"/>
      <c r="E1599" s="7"/>
      <c r="F1599" s="7"/>
      <c r="G1599" s="7"/>
      <c r="H1599" s="15"/>
      <c r="I1599" s="16"/>
      <c r="J1599" s="7"/>
    </row>
    <row r="1600">
      <c r="A1600" s="7"/>
      <c r="B1600" s="7"/>
      <c r="C1600" s="7"/>
      <c r="D1600" s="7"/>
      <c r="E1600" s="7"/>
      <c r="F1600" s="7"/>
      <c r="G1600" s="7"/>
      <c r="H1600" s="15"/>
      <c r="I1600" s="16"/>
      <c r="J1600" s="7"/>
    </row>
    <row r="1601">
      <c r="A1601" s="7"/>
      <c r="B1601" s="7"/>
      <c r="C1601" s="7"/>
      <c r="D1601" s="7"/>
      <c r="E1601" s="7"/>
      <c r="F1601" s="7"/>
      <c r="G1601" s="7"/>
      <c r="H1601" s="15"/>
      <c r="I1601" s="16"/>
      <c r="J1601" s="7"/>
    </row>
    <row r="1602">
      <c r="A1602" s="7"/>
      <c r="B1602" s="7"/>
      <c r="C1602" s="7"/>
      <c r="D1602" s="7"/>
      <c r="E1602" s="7"/>
      <c r="F1602" s="7"/>
      <c r="G1602" s="7"/>
      <c r="H1602" s="15"/>
      <c r="I1602" s="16"/>
      <c r="J1602" s="7"/>
    </row>
    <row r="1603">
      <c r="A1603" s="7"/>
      <c r="B1603" s="7"/>
      <c r="C1603" s="7"/>
      <c r="D1603" s="7"/>
      <c r="E1603" s="7"/>
      <c r="F1603" s="7"/>
      <c r="G1603" s="7"/>
      <c r="H1603" s="15"/>
      <c r="I1603" s="16"/>
      <c r="J1603" s="7"/>
    </row>
    <row r="1604">
      <c r="A1604" s="7"/>
      <c r="B1604" s="7"/>
      <c r="C1604" s="7"/>
      <c r="D1604" s="7"/>
      <c r="E1604" s="7"/>
      <c r="F1604" s="7"/>
      <c r="G1604" s="7"/>
      <c r="H1604" s="15"/>
      <c r="I1604" s="16"/>
      <c r="J1604" s="7"/>
    </row>
    <row r="1605">
      <c r="A1605" s="7"/>
      <c r="B1605" s="7"/>
      <c r="C1605" s="7"/>
      <c r="D1605" s="7"/>
      <c r="E1605" s="7"/>
      <c r="F1605" s="7"/>
      <c r="G1605" s="7"/>
      <c r="H1605" s="15"/>
      <c r="I1605" s="16"/>
      <c r="J1605" s="7"/>
    </row>
    <row r="1606">
      <c r="A1606" s="7"/>
      <c r="B1606" s="7"/>
      <c r="C1606" s="7"/>
      <c r="D1606" s="7"/>
      <c r="E1606" s="7"/>
      <c r="F1606" s="7"/>
      <c r="G1606" s="7"/>
      <c r="H1606" s="15"/>
      <c r="I1606" s="16"/>
      <c r="J1606" s="7"/>
    </row>
    <row r="1607">
      <c r="A1607" s="7"/>
      <c r="B1607" s="7"/>
      <c r="C1607" s="7"/>
      <c r="D1607" s="7"/>
      <c r="E1607" s="7"/>
      <c r="F1607" s="7"/>
      <c r="G1607" s="7"/>
      <c r="H1607" s="15"/>
      <c r="I1607" s="16"/>
      <c r="J1607" s="7"/>
    </row>
    <row r="1608">
      <c r="A1608" s="7"/>
      <c r="B1608" s="7"/>
      <c r="C1608" s="7"/>
      <c r="D1608" s="7"/>
      <c r="E1608" s="7"/>
      <c r="F1608" s="7"/>
      <c r="G1608" s="7"/>
      <c r="H1608" s="15"/>
      <c r="I1608" s="16"/>
      <c r="J1608" s="7"/>
    </row>
    <row r="1609">
      <c r="A1609" s="7"/>
      <c r="B1609" s="7"/>
      <c r="C1609" s="7"/>
      <c r="D1609" s="7"/>
      <c r="E1609" s="7"/>
      <c r="F1609" s="7"/>
      <c r="G1609" s="7"/>
      <c r="H1609" s="15"/>
      <c r="I1609" s="16"/>
      <c r="J1609" s="7"/>
    </row>
    <row r="1610">
      <c r="A1610" s="7"/>
      <c r="B1610" s="7"/>
      <c r="C1610" s="7"/>
      <c r="D1610" s="7"/>
      <c r="E1610" s="7"/>
      <c r="F1610" s="7"/>
      <c r="G1610" s="7"/>
      <c r="H1610" s="15"/>
      <c r="I1610" s="16"/>
      <c r="J1610" s="7"/>
    </row>
    <row r="1611">
      <c r="A1611" s="7"/>
      <c r="B1611" s="7"/>
      <c r="C1611" s="7"/>
      <c r="D1611" s="7"/>
      <c r="E1611" s="7"/>
      <c r="F1611" s="7"/>
      <c r="G1611" s="7"/>
      <c r="H1611" s="15"/>
      <c r="I1611" s="16"/>
      <c r="J1611" s="7"/>
    </row>
    <row r="1612">
      <c r="A1612" s="7"/>
      <c r="B1612" s="7"/>
      <c r="C1612" s="7"/>
      <c r="D1612" s="7"/>
      <c r="E1612" s="7"/>
      <c r="F1612" s="7"/>
      <c r="G1612" s="7"/>
      <c r="H1612" s="15"/>
      <c r="I1612" s="16"/>
      <c r="J1612" s="7"/>
    </row>
    <row r="1613">
      <c r="A1613" s="7"/>
      <c r="B1613" s="7"/>
      <c r="C1613" s="7"/>
      <c r="D1613" s="7"/>
      <c r="E1613" s="7"/>
      <c r="F1613" s="7"/>
      <c r="G1613" s="7"/>
      <c r="H1613" s="15"/>
      <c r="I1613" s="16"/>
      <c r="J1613" s="7"/>
    </row>
    <row r="1614">
      <c r="A1614" s="7"/>
      <c r="B1614" s="7"/>
      <c r="C1614" s="7"/>
      <c r="D1614" s="7"/>
      <c r="E1614" s="7"/>
      <c r="F1614" s="7"/>
      <c r="G1614" s="7"/>
      <c r="H1614" s="15"/>
      <c r="I1614" s="16"/>
      <c r="J1614" s="7"/>
    </row>
    <row r="1615">
      <c r="A1615" s="7"/>
      <c r="B1615" s="7"/>
      <c r="C1615" s="7"/>
      <c r="D1615" s="7"/>
      <c r="E1615" s="7"/>
      <c r="F1615" s="7"/>
      <c r="G1615" s="7"/>
      <c r="H1615" s="15"/>
      <c r="I1615" s="16"/>
      <c r="J1615" s="7"/>
    </row>
    <row r="1616">
      <c r="A1616" s="7"/>
      <c r="B1616" s="7"/>
      <c r="C1616" s="7"/>
      <c r="D1616" s="7"/>
      <c r="E1616" s="7"/>
      <c r="F1616" s="7"/>
      <c r="G1616" s="7"/>
      <c r="H1616" s="15"/>
      <c r="I1616" s="16"/>
      <c r="J1616" s="7"/>
    </row>
    <row r="1617">
      <c r="A1617" s="7"/>
      <c r="B1617" s="7"/>
      <c r="C1617" s="7"/>
      <c r="D1617" s="7"/>
      <c r="E1617" s="7"/>
      <c r="F1617" s="7"/>
      <c r="G1617" s="7"/>
      <c r="H1617" s="15"/>
      <c r="I1617" s="16"/>
      <c r="J1617" s="7"/>
    </row>
    <row r="1618">
      <c r="A1618" s="7"/>
      <c r="B1618" s="7"/>
      <c r="C1618" s="7"/>
      <c r="D1618" s="7"/>
      <c r="E1618" s="7"/>
      <c r="F1618" s="7"/>
      <c r="G1618" s="7"/>
      <c r="H1618" s="15"/>
      <c r="I1618" s="16"/>
      <c r="J1618" s="7"/>
    </row>
    <row r="1619">
      <c r="A1619" s="7"/>
      <c r="B1619" s="7"/>
      <c r="C1619" s="7"/>
      <c r="D1619" s="7"/>
      <c r="E1619" s="7"/>
      <c r="F1619" s="7"/>
      <c r="G1619" s="7"/>
      <c r="H1619" s="15"/>
      <c r="I1619" s="16"/>
      <c r="J1619" s="7"/>
    </row>
    <row r="1620">
      <c r="A1620" s="7"/>
      <c r="B1620" s="7"/>
      <c r="C1620" s="7"/>
      <c r="D1620" s="7"/>
      <c r="E1620" s="7"/>
      <c r="F1620" s="7"/>
      <c r="G1620" s="7"/>
      <c r="H1620" s="15"/>
      <c r="I1620" s="16"/>
      <c r="J1620" s="7"/>
    </row>
    <row r="1621">
      <c r="A1621" s="7"/>
      <c r="B1621" s="7"/>
      <c r="C1621" s="7"/>
      <c r="D1621" s="7"/>
      <c r="E1621" s="7"/>
      <c r="F1621" s="7"/>
      <c r="G1621" s="7"/>
      <c r="H1621" s="15"/>
      <c r="I1621" s="16"/>
      <c r="J1621" s="7"/>
    </row>
    <row r="1622">
      <c r="A1622" s="7"/>
      <c r="B1622" s="7"/>
      <c r="C1622" s="7"/>
      <c r="D1622" s="7"/>
      <c r="E1622" s="7"/>
      <c r="F1622" s="7"/>
      <c r="G1622" s="7"/>
      <c r="H1622" s="15"/>
      <c r="I1622" s="16"/>
      <c r="J1622" s="7"/>
    </row>
    <row r="1623">
      <c r="A1623" s="7"/>
      <c r="B1623" s="7"/>
      <c r="C1623" s="7"/>
      <c r="D1623" s="7"/>
      <c r="E1623" s="7"/>
      <c r="F1623" s="7"/>
      <c r="G1623" s="7"/>
      <c r="H1623" s="15"/>
      <c r="I1623" s="16"/>
      <c r="J1623" s="7"/>
    </row>
    <row r="1624">
      <c r="A1624" s="7"/>
      <c r="B1624" s="7"/>
      <c r="C1624" s="7"/>
      <c r="D1624" s="7"/>
      <c r="E1624" s="7"/>
      <c r="F1624" s="7"/>
      <c r="G1624" s="7"/>
      <c r="H1624" s="15"/>
      <c r="I1624" s="16"/>
      <c r="J1624" s="7"/>
    </row>
    <row r="1625">
      <c r="A1625" s="7"/>
      <c r="B1625" s="7"/>
      <c r="C1625" s="7"/>
      <c r="D1625" s="7"/>
      <c r="E1625" s="7"/>
      <c r="F1625" s="7"/>
      <c r="G1625" s="7"/>
      <c r="H1625" s="15"/>
      <c r="I1625" s="16"/>
      <c r="J1625" s="7"/>
    </row>
    <row r="1626">
      <c r="A1626" s="7"/>
      <c r="B1626" s="7"/>
      <c r="C1626" s="7"/>
      <c r="D1626" s="7"/>
      <c r="E1626" s="7"/>
      <c r="F1626" s="7"/>
      <c r="G1626" s="7"/>
      <c r="H1626" s="15"/>
      <c r="I1626" s="16"/>
      <c r="J1626" s="7"/>
    </row>
    <row r="1627">
      <c r="A1627" s="7"/>
      <c r="B1627" s="7"/>
      <c r="C1627" s="7"/>
      <c r="D1627" s="7"/>
      <c r="E1627" s="7"/>
      <c r="F1627" s="7"/>
      <c r="G1627" s="7"/>
      <c r="H1627" s="15"/>
      <c r="I1627" s="16"/>
      <c r="J1627" s="7"/>
    </row>
    <row r="1628">
      <c r="A1628" s="7"/>
      <c r="B1628" s="7"/>
      <c r="C1628" s="7"/>
      <c r="D1628" s="7"/>
      <c r="E1628" s="7"/>
      <c r="F1628" s="7"/>
      <c r="G1628" s="7"/>
      <c r="H1628" s="15"/>
      <c r="I1628" s="16"/>
      <c r="J1628" s="7"/>
    </row>
    <row r="1629">
      <c r="A1629" s="7"/>
      <c r="B1629" s="7"/>
      <c r="C1629" s="7"/>
      <c r="D1629" s="7"/>
      <c r="E1629" s="7"/>
      <c r="F1629" s="7"/>
      <c r="G1629" s="7"/>
      <c r="H1629" s="15"/>
      <c r="I1629" s="16"/>
      <c r="J1629" s="7"/>
    </row>
    <row r="1630">
      <c r="A1630" s="7"/>
      <c r="B1630" s="7"/>
      <c r="C1630" s="7"/>
      <c r="D1630" s="7"/>
      <c r="E1630" s="7"/>
      <c r="F1630" s="7"/>
      <c r="G1630" s="7"/>
      <c r="H1630" s="15"/>
      <c r="I1630" s="16"/>
      <c r="J1630" s="7"/>
    </row>
    <row r="1631">
      <c r="A1631" s="7"/>
      <c r="B1631" s="7"/>
      <c r="C1631" s="7"/>
      <c r="D1631" s="7"/>
      <c r="E1631" s="7"/>
      <c r="F1631" s="7"/>
      <c r="G1631" s="7"/>
      <c r="H1631" s="15"/>
      <c r="I1631" s="16"/>
      <c r="J1631" s="7"/>
    </row>
    <row r="1632">
      <c r="A1632" s="7"/>
      <c r="B1632" s="7"/>
      <c r="C1632" s="7"/>
      <c r="D1632" s="7"/>
      <c r="E1632" s="7"/>
      <c r="F1632" s="7"/>
      <c r="G1632" s="7"/>
      <c r="H1632" s="15"/>
      <c r="I1632" s="16"/>
      <c r="J1632" s="7"/>
    </row>
    <row r="1633">
      <c r="A1633" s="7"/>
      <c r="B1633" s="7"/>
      <c r="C1633" s="7"/>
      <c r="D1633" s="7"/>
      <c r="E1633" s="7"/>
      <c r="F1633" s="7"/>
      <c r="G1633" s="7"/>
      <c r="H1633" s="15"/>
      <c r="I1633" s="16"/>
      <c r="J1633" s="7"/>
    </row>
    <row r="1634">
      <c r="A1634" s="7"/>
      <c r="B1634" s="7"/>
      <c r="C1634" s="7"/>
      <c r="D1634" s="7"/>
      <c r="E1634" s="7"/>
      <c r="F1634" s="7"/>
      <c r="G1634" s="7"/>
      <c r="H1634" s="15"/>
      <c r="I1634" s="16"/>
      <c r="J1634" s="7"/>
    </row>
    <row r="1635">
      <c r="A1635" s="7"/>
      <c r="B1635" s="7"/>
      <c r="C1635" s="7"/>
      <c r="D1635" s="7"/>
      <c r="E1635" s="7"/>
      <c r="F1635" s="7"/>
      <c r="G1635" s="7"/>
      <c r="H1635" s="15"/>
      <c r="I1635" s="16"/>
      <c r="J1635" s="7"/>
    </row>
    <row r="1636">
      <c r="A1636" s="7"/>
      <c r="B1636" s="7"/>
      <c r="C1636" s="7"/>
      <c r="D1636" s="7"/>
      <c r="E1636" s="7"/>
      <c r="F1636" s="7"/>
      <c r="G1636" s="7"/>
      <c r="H1636" s="15"/>
      <c r="I1636" s="16"/>
      <c r="J1636" s="7"/>
    </row>
    <row r="1637">
      <c r="A1637" s="7"/>
      <c r="B1637" s="7"/>
      <c r="C1637" s="7"/>
      <c r="D1637" s="7"/>
      <c r="E1637" s="7"/>
      <c r="F1637" s="7"/>
      <c r="G1637" s="7"/>
      <c r="H1637" s="15"/>
      <c r="I1637" s="16"/>
      <c r="J1637" s="7"/>
    </row>
    <row r="1638">
      <c r="A1638" s="7"/>
      <c r="B1638" s="7"/>
      <c r="C1638" s="7"/>
      <c r="D1638" s="7"/>
      <c r="E1638" s="7"/>
      <c r="F1638" s="7"/>
      <c r="G1638" s="7"/>
      <c r="H1638" s="15"/>
      <c r="I1638" s="16"/>
      <c r="J1638" s="7"/>
    </row>
    <row r="1639">
      <c r="A1639" s="7"/>
      <c r="B1639" s="7"/>
      <c r="C1639" s="7"/>
      <c r="D1639" s="7"/>
      <c r="E1639" s="7"/>
      <c r="F1639" s="7"/>
      <c r="G1639" s="7"/>
      <c r="H1639" s="15"/>
      <c r="I1639" s="16"/>
      <c r="J1639" s="7"/>
    </row>
    <row r="1640">
      <c r="A1640" s="7"/>
      <c r="B1640" s="7"/>
      <c r="C1640" s="7"/>
      <c r="D1640" s="7"/>
      <c r="E1640" s="7"/>
      <c r="F1640" s="7"/>
      <c r="G1640" s="7"/>
      <c r="H1640" s="15"/>
      <c r="I1640" s="16"/>
      <c r="J1640" s="7"/>
    </row>
    <row r="1641">
      <c r="A1641" s="7"/>
      <c r="B1641" s="7"/>
      <c r="C1641" s="7"/>
      <c r="D1641" s="7"/>
      <c r="E1641" s="7"/>
      <c r="F1641" s="7"/>
      <c r="G1641" s="7"/>
      <c r="H1641" s="15"/>
      <c r="I1641" s="16"/>
      <c r="J1641" s="7"/>
    </row>
    <row r="1642">
      <c r="A1642" s="7"/>
      <c r="B1642" s="7"/>
      <c r="C1642" s="7"/>
      <c r="D1642" s="7"/>
      <c r="E1642" s="7"/>
      <c r="F1642" s="7"/>
      <c r="G1642" s="7"/>
      <c r="H1642" s="15"/>
      <c r="I1642" s="16"/>
      <c r="J1642" s="7"/>
    </row>
    <row r="1643">
      <c r="A1643" s="7"/>
      <c r="B1643" s="7"/>
      <c r="C1643" s="7"/>
      <c r="D1643" s="7"/>
      <c r="E1643" s="7"/>
      <c r="F1643" s="7"/>
      <c r="G1643" s="7"/>
      <c r="H1643" s="15"/>
      <c r="I1643" s="16"/>
      <c r="J1643" s="7"/>
    </row>
    <row r="1644">
      <c r="A1644" s="7"/>
      <c r="B1644" s="7"/>
      <c r="C1644" s="7"/>
      <c r="D1644" s="7"/>
      <c r="E1644" s="7"/>
      <c r="F1644" s="7"/>
      <c r="G1644" s="7"/>
      <c r="H1644" s="15"/>
      <c r="I1644" s="16"/>
      <c r="J1644" s="7"/>
    </row>
    <row r="1645">
      <c r="A1645" s="7"/>
      <c r="B1645" s="7"/>
      <c r="C1645" s="7"/>
      <c r="D1645" s="7"/>
      <c r="E1645" s="7"/>
      <c r="F1645" s="7"/>
      <c r="G1645" s="7"/>
      <c r="H1645" s="15"/>
      <c r="I1645" s="16"/>
      <c r="J1645" s="7"/>
    </row>
    <row r="1646">
      <c r="A1646" s="7"/>
      <c r="B1646" s="7"/>
      <c r="C1646" s="7"/>
      <c r="D1646" s="7"/>
      <c r="E1646" s="7"/>
      <c r="F1646" s="7"/>
      <c r="G1646" s="7"/>
      <c r="H1646" s="15"/>
      <c r="I1646" s="16"/>
      <c r="J1646" s="7"/>
    </row>
    <row r="1647">
      <c r="A1647" s="7"/>
      <c r="B1647" s="7"/>
      <c r="C1647" s="7"/>
      <c r="D1647" s="7"/>
      <c r="E1647" s="7"/>
      <c r="F1647" s="7"/>
      <c r="G1647" s="7"/>
      <c r="H1647" s="15"/>
      <c r="I1647" s="16"/>
      <c r="J1647" s="7"/>
    </row>
    <row r="1648">
      <c r="A1648" s="7"/>
      <c r="B1648" s="7"/>
      <c r="C1648" s="7"/>
      <c r="D1648" s="7"/>
      <c r="E1648" s="7"/>
      <c r="F1648" s="7"/>
      <c r="G1648" s="7"/>
      <c r="H1648" s="15"/>
      <c r="I1648" s="16"/>
      <c r="J1648" s="7"/>
    </row>
    <row r="1649">
      <c r="A1649" s="7"/>
      <c r="B1649" s="7"/>
      <c r="C1649" s="7"/>
      <c r="D1649" s="7"/>
      <c r="E1649" s="7"/>
      <c r="F1649" s="7"/>
      <c r="G1649" s="7"/>
      <c r="H1649" s="15"/>
      <c r="I1649" s="16"/>
      <c r="J1649" s="7"/>
    </row>
    <row r="1650">
      <c r="A1650" s="7"/>
      <c r="B1650" s="7"/>
      <c r="C1650" s="7"/>
      <c r="D1650" s="7"/>
      <c r="E1650" s="7"/>
      <c r="F1650" s="7"/>
      <c r="G1650" s="7"/>
      <c r="H1650" s="15"/>
      <c r="I1650" s="16"/>
      <c r="J1650" s="7"/>
    </row>
    <row r="1651">
      <c r="A1651" s="7"/>
      <c r="B1651" s="7"/>
      <c r="C1651" s="7"/>
      <c r="D1651" s="7"/>
      <c r="E1651" s="7"/>
      <c r="F1651" s="7"/>
      <c r="G1651" s="7"/>
      <c r="H1651" s="15"/>
      <c r="I1651" s="16"/>
      <c r="J1651" s="7"/>
    </row>
    <row r="1652">
      <c r="A1652" s="7"/>
      <c r="B1652" s="7"/>
      <c r="C1652" s="7"/>
      <c r="D1652" s="7"/>
      <c r="E1652" s="7"/>
      <c r="F1652" s="7"/>
      <c r="G1652" s="7"/>
      <c r="H1652" s="15"/>
      <c r="I1652" s="16"/>
      <c r="J1652" s="7"/>
    </row>
    <row r="1653">
      <c r="A1653" s="7"/>
      <c r="B1653" s="7"/>
      <c r="C1653" s="7"/>
      <c r="D1653" s="7"/>
      <c r="E1653" s="7"/>
      <c r="F1653" s="7"/>
      <c r="G1653" s="7"/>
      <c r="H1653" s="15"/>
      <c r="I1653" s="16"/>
      <c r="J1653" s="7"/>
    </row>
    <row r="1654">
      <c r="A1654" s="7"/>
      <c r="B1654" s="7"/>
      <c r="C1654" s="7"/>
      <c r="D1654" s="7"/>
      <c r="E1654" s="7"/>
      <c r="F1654" s="7"/>
      <c r="G1654" s="7"/>
      <c r="H1654" s="15"/>
      <c r="I1654" s="16"/>
      <c r="J1654" s="7"/>
    </row>
    <row r="1655">
      <c r="A1655" s="7"/>
      <c r="B1655" s="7"/>
      <c r="C1655" s="7"/>
      <c r="D1655" s="7"/>
      <c r="E1655" s="7"/>
      <c r="F1655" s="7"/>
      <c r="G1655" s="7"/>
      <c r="H1655" s="15"/>
      <c r="I1655" s="16"/>
      <c r="J1655" s="7"/>
    </row>
    <row r="1656">
      <c r="A1656" s="7"/>
      <c r="B1656" s="7"/>
      <c r="C1656" s="7"/>
      <c r="D1656" s="7"/>
      <c r="E1656" s="7"/>
      <c r="F1656" s="7"/>
      <c r="G1656" s="7"/>
      <c r="H1656" s="15"/>
      <c r="I1656" s="16"/>
      <c r="J1656" s="7"/>
    </row>
    <row r="1657">
      <c r="A1657" s="7"/>
      <c r="B1657" s="7"/>
      <c r="C1657" s="7"/>
      <c r="D1657" s="7"/>
      <c r="E1657" s="7"/>
      <c r="F1657" s="7"/>
      <c r="G1657" s="7"/>
      <c r="H1657" s="15"/>
      <c r="I1657" s="16"/>
      <c r="J1657" s="7"/>
    </row>
    <row r="1658">
      <c r="A1658" s="7"/>
      <c r="B1658" s="7"/>
      <c r="C1658" s="7"/>
      <c r="D1658" s="7"/>
      <c r="E1658" s="7"/>
      <c r="F1658" s="7"/>
      <c r="G1658" s="7"/>
      <c r="H1658" s="15"/>
      <c r="I1658" s="16"/>
      <c r="J1658" s="7"/>
    </row>
    <row r="1659">
      <c r="A1659" s="7"/>
      <c r="B1659" s="7"/>
      <c r="C1659" s="7"/>
      <c r="D1659" s="7"/>
      <c r="E1659" s="7"/>
      <c r="F1659" s="7"/>
      <c r="G1659" s="7"/>
      <c r="H1659" s="15"/>
      <c r="I1659" s="16"/>
      <c r="J1659" s="7"/>
    </row>
    <row r="1660">
      <c r="A1660" s="7"/>
      <c r="B1660" s="7"/>
      <c r="C1660" s="7"/>
      <c r="D1660" s="7"/>
      <c r="E1660" s="7"/>
      <c r="F1660" s="7"/>
      <c r="G1660" s="7"/>
      <c r="H1660" s="15"/>
      <c r="I1660" s="16"/>
      <c r="J1660" s="7"/>
    </row>
    <row r="1661">
      <c r="A1661" s="7"/>
      <c r="B1661" s="7"/>
      <c r="C1661" s="7"/>
      <c r="D1661" s="7"/>
      <c r="E1661" s="7"/>
      <c r="F1661" s="7"/>
      <c r="G1661" s="7"/>
      <c r="H1661" s="15"/>
      <c r="I1661" s="16"/>
      <c r="J1661" s="7"/>
    </row>
    <row r="1662">
      <c r="A1662" s="7"/>
      <c r="B1662" s="7"/>
      <c r="C1662" s="7"/>
      <c r="D1662" s="7"/>
      <c r="E1662" s="7"/>
      <c r="F1662" s="7"/>
      <c r="G1662" s="7"/>
      <c r="H1662" s="15"/>
      <c r="I1662" s="16"/>
      <c r="J1662" s="7"/>
    </row>
    <row r="1663">
      <c r="A1663" s="7"/>
      <c r="B1663" s="7"/>
      <c r="C1663" s="7"/>
      <c r="D1663" s="7"/>
      <c r="E1663" s="7"/>
      <c r="F1663" s="7"/>
      <c r="G1663" s="7"/>
      <c r="H1663" s="15"/>
      <c r="I1663" s="16"/>
      <c r="J1663" s="7"/>
    </row>
    <row r="1664">
      <c r="A1664" s="7"/>
      <c r="B1664" s="7"/>
      <c r="C1664" s="7"/>
      <c r="D1664" s="7"/>
      <c r="E1664" s="7"/>
      <c r="F1664" s="7"/>
      <c r="G1664" s="7"/>
      <c r="H1664" s="15"/>
      <c r="I1664" s="16"/>
      <c r="J1664" s="7"/>
    </row>
    <row r="1665">
      <c r="A1665" s="7"/>
      <c r="B1665" s="7"/>
      <c r="C1665" s="7"/>
      <c r="D1665" s="7"/>
      <c r="E1665" s="7"/>
      <c r="F1665" s="7"/>
      <c r="G1665" s="7"/>
      <c r="H1665" s="15"/>
      <c r="I1665" s="16"/>
      <c r="J1665" s="7"/>
    </row>
    <row r="1666">
      <c r="A1666" s="7"/>
      <c r="B1666" s="7"/>
      <c r="C1666" s="7"/>
      <c r="D1666" s="7"/>
      <c r="E1666" s="7"/>
      <c r="F1666" s="7"/>
      <c r="G1666" s="7"/>
      <c r="H1666" s="15"/>
      <c r="I1666" s="16"/>
      <c r="J1666" s="7"/>
    </row>
    <row r="1667">
      <c r="A1667" s="7"/>
      <c r="B1667" s="7"/>
      <c r="C1667" s="7"/>
      <c r="D1667" s="7"/>
      <c r="E1667" s="7"/>
      <c r="F1667" s="7"/>
      <c r="G1667" s="7"/>
      <c r="H1667" s="15"/>
      <c r="I1667" s="16"/>
      <c r="J1667" s="7"/>
    </row>
    <row r="1668">
      <c r="A1668" s="7"/>
      <c r="B1668" s="7"/>
      <c r="C1668" s="7"/>
      <c r="D1668" s="7"/>
      <c r="E1668" s="7"/>
      <c r="F1668" s="7"/>
      <c r="G1668" s="7"/>
      <c r="H1668" s="15"/>
      <c r="I1668" s="16"/>
      <c r="J1668" s="7"/>
    </row>
    <row r="1669">
      <c r="A1669" s="7"/>
      <c r="B1669" s="7"/>
      <c r="C1669" s="7"/>
      <c r="D1669" s="7"/>
      <c r="E1669" s="7"/>
      <c r="F1669" s="7"/>
      <c r="G1669" s="7"/>
      <c r="H1669" s="15"/>
      <c r="I1669" s="16"/>
      <c r="J1669" s="7"/>
    </row>
    <row r="1670">
      <c r="A1670" s="7"/>
      <c r="B1670" s="7"/>
      <c r="C1670" s="7"/>
      <c r="D1670" s="7"/>
      <c r="E1670" s="7"/>
      <c r="F1670" s="7"/>
      <c r="G1670" s="7"/>
      <c r="H1670" s="15"/>
      <c r="I1670" s="16"/>
      <c r="J1670" s="7"/>
    </row>
    <row r="1671">
      <c r="A1671" s="7"/>
      <c r="B1671" s="7"/>
      <c r="C1671" s="7"/>
      <c r="D1671" s="7"/>
      <c r="E1671" s="7"/>
      <c r="F1671" s="7"/>
      <c r="G1671" s="7"/>
      <c r="H1671" s="15"/>
      <c r="I1671" s="16"/>
      <c r="J1671" s="7"/>
    </row>
    <row r="1672">
      <c r="A1672" s="7"/>
      <c r="B1672" s="7"/>
      <c r="C1672" s="7"/>
      <c r="D1672" s="7"/>
      <c r="E1672" s="7"/>
      <c r="F1672" s="7"/>
      <c r="G1672" s="7"/>
      <c r="H1672" s="15"/>
      <c r="I1672" s="16"/>
      <c r="J1672" s="7"/>
    </row>
    <row r="1673">
      <c r="A1673" s="7"/>
      <c r="B1673" s="7"/>
      <c r="C1673" s="7"/>
      <c r="D1673" s="7"/>
      <c r="E1673" s="7"/>
      <c r="F1673" s="7"/>
      <c r="G1673" s="7"/>
      <c r="H1673" s="15"/>
      <c r="I1673" s="16"/>
      <c r="J1673" s="7"/>
    </row>
    <row r="1674">
      <c r="A1674" s="7"/>
      <c r="B1674" s="7"/>
      <c r="C1674" s="7"/>
      <c r="D1674" s="7"/>
      <c r="E1674" s="7"/>
      <c r="F1674" s="7"/>
      <c r="G1674" s="7"/>
      <c r="H1674" s="15"/>
      <c r="I1674" s="16"/>
      <c r="J1674" s="7"/>
    </row>
    <row r="1675">
      <c r="A1675" s="7"/>
      <c r="B1675" s="7"/>
      <c r="C1675" s="7"/>
      <c r="D1675" s="7"/>
      <c r="E1675" s="7"/>
      <c r="F1675" s="7"/>
      <c r="G1675" s="7"/>
      <c r="H1675" s="15"/>
      <c r="I1675" s="16"/>
      <c r="J1675" s="7"/>
    </row>
    <row r="1676">
      <c r="A1676" s="7"/>
      <c r="B1676" s="7"/>
      <c r="C1676" s="7"/>
      <c r="D1676" s="7"/>
      <c r="E1676" s="7"/>
      <c r="F1676" s="7"/>
      <c r="G1676" s="7"/>
      <c r="H1676" s="15"/>
      <c r="I1676" s="16"/>
      <c r="J1676" s="7"/>
    </row>
    <row r="1677">
      <c r="A1677" s="7"/>
      <c r="B1677" s="7"/>
      <c r="C1677" s="7"/>
      <c r="D1677" s="7"/>
      <c r="E1677" s="7"/>
      <c r="F1677" s="7"/>
      <c r="G1677" s="7"/>
      <c r="H1677" s="15"/>
      <c r="I1677" s="16"/>
      <c r="J1677" s="7"/>
    </row>
    <row r="1678">
      <c r="A1678" s="7"/>
      <c r="B1678" s="7"/>
      <c r="C1678" s="7"/>
      <c r="D1678" s="7"/>
      <c r="E1678" s="7"/>
      <c r="F1678" s="7"/>
      <c r="G1678" s="7"/>
      <c r="H1678" s="15"/>
      <c r="I1678" s="16"/>
      <c r="J1678" s="7"/>
    </row>
    <row r="1679">
      <c r="A1679" s="7"/>
      <c r="B1679" s="7"/>
      <c r="C1679" s="7"/>
      <c r="D1679" s="7"/>
      <c r="E1679" s="7"/>
      <c r="F1679" s="7"/>
      <c r="G1679" s="7"/>
      <c r="H1679" s="15"/>
      <c r="I1679" s="16"/>
      <c r="J1679" s="7"/>
    </row>
    <row r="1680">
      <c r="A1680" s="7"/>
      <c r="B1680" s="7"/>
      <c r="C1680" s="7"/>
      <c r="D1680" s="7"/>
      <c r="E1680" s="7"/>
      <c r="F1680" s="7"/>
      <c r="G1680" s="7"/>
      <c r="H1680" s="15"/>
      <c r="I1680" s="16"/>
      <c r="J1680" s="7"/>
    </row>
    <row r="1681">
      <c r="A1681" s="7"/>
      <c r="B1681" s="7"/>
      <c r="C1681" s="7"/>
      <c r="D1681" s="7"/>
      <c r="E1681" s="7"/>
      <c r="F1681" s="7"/>
      <c r="G1681" s="7"/>
      <c r="H1681" s="15"/>
      <c r="I1681" s="16"/>
      <c r="J1681" s="7"/>
    </row>
    <row r="1682">
      <c r="A1682" s="7"/>
      <c r="B1682" s="7"/>
      <c r="C1682" s="7"/>
      <c r="D1682" s="7"/>
      <c r="E1682" s="7"/>
      <c r="F1682" s="7"/>
      <c r="G1682" s="7"/>
      <c r="H1682" s="15"/>
      <c r="I1682" s="16"/>
      <c r="J1682" s="7"/>
    </row>
    <row r="1683">
      <c r="A1683" s="7"/>
      <c r="B1683" s="7"/>
      <c r="C1683" s="7"/>
      <c r="D1683" s="7"/>
      <c r="E1683" s="7"/>
      <c r="F1683" s="7"/>
      <c r="G1683" s="7"/>
      <c r="H1683" s="15"/>
      <c r="I1683" s="16"/>
      <c r="J1683" s="7"/>
    </row>
    <row r="1684">
      <c r="A1684" s="7"/>
      <c r="B1684" s="7"/>
      <c r="C1684" s="7"/>
      <c r="D1684" s="7"/>
      <c r="E1684" s="7"/>
      <c r="F1684" s="7"/>
      <c r="G1684" s="7"/>
      <c r="H1684" s="15"/>
      <c r="I1684" s="16"/>
      <c r="J1684" s="7"/>
    </row>
    <row r="1685">
      <c r="A1685" s="7"/>
      <c r="B1685" s="7"/>
      <c r="C1685" s="7"/>
      <c r="D1685" s="7"/>
      <c r="E1685" s="7"/>
      <c r="F1685" s="7"/>
      <c r="G1685" s="7"/>
      <c r="H1685" s="15"/>
      <c r="I1685" s="16"/>
      <c r="J1685" s="7"/>
    </row>
    <row r="1686">
      <c r="A1686" s="7"/>
      <c r="B1686" s="7"/>
      <c r="C1686" s="7"/>
      <c r="D1686" s="7"/>
      <c r="E1686" s="7"/>
      <c r="F1686" s="7"/>
      <c r="G1686" s="7"/>
      <c r="H1686" s="15"/>
      <c r="I1686" s="16"/>
      <c r="J1686" s="7"/>
    </row>
    <row r="1687">
      <c r="A1687" s="7"/>
      <c r="B1687" s="7"/>
      <c r="C1687" s="7"/>
      <c r="D1687" s="7"/>
      <c r="E1687" s="7"/>
      <c r="F1687" s="7"/>
      <c r="G1687" s="7"/>
      <c r="H1687" s="15"/>
      <c r="I1687" s="16"/>
      <c r="J1687" s="7"/>
    </row>
    <row r="1688">
      <c r="A1688" s="7"/>
      <c r="B1688" s="7"/>
      <c r="C1688" s="7"/>
      <c r="D1688" s="7"/>
      <c r="E1688" s="7"/>
      <c r="F1688" s="7"/>
      <c r="G1688" s="7"/>
      <c r="H1688" s="15"/>
      <c r="I1688" s="16"/>
      <c r="J1688" s="7"/>
    </row>
    <row r="1689">
      <c r="A1689" s="7"/>
      <c r="B1689" s="7"/>
      <c r="C1689" s="7"/>
      <c r="D1689" s="7"/>
      <c r="E1689" s="7"/>
      <c r="F1689" s="7"/>
      <c r="G1689" s="7"/>
      <c r="H1689" s="15"/>
      <c r="I1689" s="16"/>
      <c r="J1689" s="7"/>
    </row>
    <row r="1690">
      <c r="A1690" s="7"/>
      <c r="B1690" s="7"/>
      <c r="C1690" s="7"/>
      <c r="D1690" s="7"/>
      <c r="E1690" s="7"/>
      <c r="F1690" s="7"/>
      <c r="G1690" s="7"/>
      <c r="H1690" s="15"/>
      <c r="I1690" s="16"/>
      <c r="J1690" s="7"/>
    </row>
    <row r="1691">
      <c r="A1691" s="7"/>
      <c r="B1691" s="7"/>
      <c r="C1691" s="7"/>
      <c r="D1691" s="7"/>
      <c r="E1691" s="7"/>
      <c r="F1691" s="7"/>
      <c r="G1691" s="7"/>
      <c r="H1691" s="15"/>
      <c r="I1691" s="16"/>
      <c r="J1691" s="7"/>
    </row>
    <row r="1692">
      <c r="A1692" s="7"/>
      <c r="B1692" s="7"/>
      <c r="C1692" s="7"/>
      <c r="D1692" s="7"/>
      <c r="E1692" s="7"/>
      <c r="F1692" s="7"/>
      <c r="G1692" s="7"/>
      <c r="H1692" s="15"/>
      <c r="I1692" s="16"/>
      <c r="J1692" s="7"/>
    </row>
    <row r="1693">
      <c r="A1693" s="7"/>
      <c r="B1693" s="7"/>
      <c r="C1693" s="7"/>
      <c r="D1693" s="7"/>
      <c r="E1693" s="7"/>
      <c r="F1693" s="7"/>
      <c r="G1693" s="7"/>
      <c r="H1693" s="15"/>
      <c r="I1693" s="16"/>
      <c r="J1693" s="7"/>
    </row>
    <row r="1694">
      <c r="A1694" s="7"/>
      <c r="B1694" s="7"/>
      <c r="C1694" s="7"/>
      <c r="D1694" s="7"/>
      <c r="E1694" s="7"/>
      <c r="F1694" s="7"/>
      <c r="G1694" s="7"/>
      <c r="H1694" s="15"/>
      <c r="I1694" s="16"/>
      <c r="J1694" s="7"/>
    </row>
    <row r="1695">
      <c r="A1695" s="7"/>
      <c r="B1695" s="7"/>
      <c r="C1695" s="7"/>
      <c r="D1695" s="7"/>
      <c r="E1695" s="7"/>
      <c r="F1695" s="7"/>
      <c r="G1695" s="7"/>
      <c r="H1695" s="15"/>
      <c r="I1695" s="16"/>
      <c r="J1695" s="7"/>
    </row>
    <row r="1696">
      <c r="A1696" s="7"/>
      <c r="B1696" s="7"/>
      <c r="C1696" s="7"/>
      <c r="D1696" s="7"/>
      <c r="E1696" s="7"/>
      <c r="F1696" s="7"/>
      <c r="G1696" s="7"/>
      <c r="H1696" s="15"/>
      <c r="I1696" s="16"/>
      <c r="J1696" s="7"/>
    </row>
    <row r="1697">
      <c r="A1697" s="7"/>
      <c r="B1697" s="7"/>
      <c r="C1697" s="7"/>
      <c r="D1697" s="7"/>
      <c r="E1697" s="7"/>
      <c r="F1697" s="7"/>
      <c r="G1697" s="7"/>
      <c r="H1697" s="15"/>
      <c r="I1697" s="16"/>
      <c r="J1697" s="7"/>
    </row>
    <row r="1698">
      <c r="A1698" s="7"/>
      <c r="B1698" s="7"/>
      <c r="C1698" s="7"/>
      <c r="D1698" s="7"/>
      <c r="E1698" s="7"/>
      <c r="F1698" s="7"/>
      <c r="G1698" s="7"/>
      <c r="H1698" s="15"/>
      <c r="I1698" s="16"/>
      <c r="J1698" s="7"/>
    </row>
    <row r="1699">
      <c r="A1699" s="7"/>
      <c r="B1699" s="7"/>
      <c r="C1699" s="7"/>
      <c r="D1699" s="7"/>
      <c r="E1699" s="7"/>
      <c r="F1699" s="7"/>
      <c r="G1699" s="7"/>
      <c r="H1699" s="15"/>
      <c r="I1699" s="16"/>
      <c r="J1699" s="7"/>
    </row>
    <row r="1700">
      <c r="A1700" s="7"/>
      <c r="B1700" s="7"/>
      <c r="C1700" s="7"/>
      <c r="D1700" s="7"/>
      <c r="E1700" s="7"/>
      <c r="F1700" s="7"/>
      <c r="G1700" s="7"/>
      <c r="H1700" s="15"/>
      <c r="I1700" s="16"/>
      <c r="J1700" s="7"/>
    </row>
    <row r="1701">
      <c r="A1701" s="7"/>
      <c r="B1701" s="7"/>
      <c r="C1701" s="7"/>
      <c r="D1701" s="7"/>
      <c r="E1701" s="7"/>
      <c r="F1701" s="7"/>
      <c r="G1701" s="7"/>
      <c r="H1701" s="15"/>
      <c r="I1701" s="16"/>
      <c r="J1701" s="7"/>
    </row>
    <row r="1702">
      <c r="A1702" s="7"/>
      <c r="B1702" s="7"/>
      <c r="C1702" s="7"/>
      <c r="D1702" s="7"/>
      <c r="E1702" s="7"/>
      <c r="F1702" s="7"/>
      <c r="G1702" s="7"/>
      <c r="H1702" s="15"/>
      <c r="I1702" s="16"/>
      <c r="J1702" s="7"/>
    </row>
    <row r="1703">
      <c r="A1703" s="7"/>
      <c r="B1703" s="7"/>
      <c r="C1703" s="7"/>
      <c r="D1703" s="7"/>
      <c r="E1703" s="7"/>
      <c r="F1703" s="7"/>
      <c r="G1703" s="7"/>
      <c r="H1703" s="15"/>
      <c r="I1703" s="16"/>
      <c r="J1703" s="7"/>
    </row>
    <row r="1704">
      <c r="A1704" s="7"/>
      <c r="B1704" s="7"/>
      <c r="C1704" s="7"/>
      <c r="D1704" s="7"/>
      <c r="E1704" s="7"/>
      <c r="F1704" s="7"/>
      <c r="G1704" s="7"/>
      <c r="H1704" s="15"/>
      <c r="I1704" s="16"/>
      <c r="J1704" s="7"/>
    </row>
    <row r="1705">
      <c r="A1705" s="7"/>
      <c r="B1705" s="7"/>
      <c r="C1705" s="7"/>
      <c r="D1705" s="7"/>
      <c r="E1705" s="7"/>
      <c r="F1705" s="7"/>
      <c r="G1705" s="7"/>
      <c r="H1705" s="15"/>
      <c r="I1705" s="16"/>
      <c r="J1705" s="7"/>
    </row>
    <row r="1706">
      <c r="A1706" s="7"/>
      <c r="B1706" s="7"/>
      <c r="C1706" s="7"/>
      <c r="D1706" s="7"/>
      <c r="E1706" s="7"/>
      <c r="F1706" s="7"/>
      <c r="G1706" s="7"/>
      <c r="H1706" s="15"/>
      <c r="I1706" s="16"/>
      <c r="J1706" s="7"/>
    </row>
    <row r="1707">
      <c r="A1707" s="7"/>
      <c r="B1707" s="7"/>
      <c r="C1707" s="7"/>
      <c r="D1707" s="7"/>
      <c r="E1707" s="7"/>
      <c r="F1707" s="7"/>
      <c r="G1707" s="7"/>
      <c r="H1707" s="15"/>
      <c r="I1707" s="16"/>
      <c r="J1707" s="7"/>
    </row>
    <row r="1708">
      <c r="A1708" s="7"/>
      <c r="B1708" s="7"/>
      <c r="C1708" s="7"/>
      <c r="D1708" s="7"/>
      <c r="E1708" s="7"/>
      <c r="F1708" s="7"/>
      <c r="G1708" s="7"/>
      <c r="H1708" s="15"/>
      <c r="I1708" s="16"/>
      <c r="J1708" s="7"/>
    </row>
    <row r="1709">
      <c r="A1709" s="7"/>
      <c r="B1709" s="7"/>
      <c r="C1709" s="7"/>
      <c r="D1709" s="7"/>
      <c r="E1709" s="7"/>
      <c r="F1709" s="7"/>
      <c r="G1709" s="7"/>
      <c r="H1709" s="15"/>
      <c r="I1709" s="16"/>
      <c r="J1709" s="7"/>
    </row>
    <row r="1710">
      <c r="A1710" s="7"/>
      <c r="B1710" s="7"/>
      <c r="C1710" s="7"/>
      <c r="D1710" s="7"/>
      <c r="E1710" s="7"/>
      <c r="F1710" s="7"/>
      <c r="G1710" s="7"/>
      <c r="H1710" s="15"/>
      <c r="I1710" s="16"/>
      <c r="J1710" s="7"/>
    </row>
    <row r="1711">
      <c r="A1711" s="7"/>
      <c r="B1711" s="7"/>
      <c r="C1711" s="7"/>
      <c r="D1711" s="7"/>
      <c r="E1711" s="7"/>
      <c r="F1711" s="7"/>
      <c r="G1711" s="7"/>
      <c r="H1711" s="15"/>
      <c r="I1711" s="16"/>
      <c r="J1711" s="7"/>
    </row>
    <row r="1712">
      <c r="A1712" s="7"/>
      <c r="B1712" s="7"/>
      <c r="C1712" s="7"/>
      <c r="D1712" s="7"/>
      <c r="E1712" s="7"/>
      <c r="F1712" s="7"/>
      <c r="G1712" s="7"/>
      <c r="H1712" s="15"/>
      <c r="I1712" s="16"/>
      <c r="J1712" s="7"/>
    </row>
    <row r="1713">
      <c r="A1713" s="7"/>
      <c r="B1713" s="7"/>
      <c r="C1713" s="7"/>
      <c r="D1713" s="7"/>
      <c r="E1713" s="7"/>
      <c r="F1713" s="7"/>
      <c r="G1713" s="7"/>
      <c r="H1713" s="15"/>
      <c r="I1713" s="16"/>
      <c r="J1713" s="7"/>
    </row>
    <row r="1714">
      <c r="A1714" s="7"/>
      <c r="B1714" s="7"/>
      <c r="C1714" s="7"/>
      <c r="D1714" s="7"/>
      <c r="E1714" s="7"/>
      <c r="F1714" s="7"/>
      <c r="G1714" s="7"/>
      <c r="H1714" s="15"/>
      <c r="I1714" s="16"/>
      <c r="J1714" s="7"/>
    </row>
    <row r="1715">
      <c r="A1715" s="7"/>
      <c r="B1715" s="7"/>
      <c r="C1715" s="7"/>
      <c r="D1715" s="7"/>
      <c r="E1715" s="7"/>
      <c r="F1715" s="7"/>
      <c r="G1715" s="7"/>
      <c r="H1715" s="15"/>
      <c r="I1715" s="16"/>
      <c r="J1715" s="7"/>
    </row>
    <row r="1716">
      <c r="A1716" s="7"/>
      <c r="B1716" s="7"/>
      <c r="C1716" s="7"/>
      <c r="D1716" s="7"/>
      <c r="E1716" s="7"/>
      <c r="F1716" s="7"/>
      <c r="G1716" s="7"/>
      <c r="H1716" s="15"/>
      <c r="I1716" s="16"/>
      <c r="J1716" s="7"/>
    </row>
    <row r="1717">
      <c r="A1717" s="7"/>
      <c r="B1717" s="7"/>
      <c r="C1717" s="7"/>
      <c r="D1717" s="7"/>
      <c r="E1717" s="7"/>
      <c r="F1717" s="7"/>
      <c r="G1717" s="7"/>
      <c r="H1717" s="15"/>
      <c r="I1717" s="16"/>
      <c r="J1717" s="7"/>
    </row>
    <row r="1718">
      <c r="A1718" s="7"/>
      <c r="B1718" s="7"/>
      <c r="C1718" s="7"/>
      <c r="D1718" s="7"/>
      <c r="E1718" s="7"/>
      <c r="F1718" s="7"/>
      <c r="G1718" s="7"/>
      <c r="H1718" s="15"/>
      <c r="I1718" s="16"/>
      <c r="J1718" s="7"/>
    </row>
    <row r="1719">
      <c r="A1719" s="7"/>
      <c r="B1719" s="7"/>
      <c r="C1719" s="7"/>
      <c r="D1719" s="7"/>
      <c r="E1719" s="7"/>
      <c r="F1719" s="7"/>
      <c r="G1719" s="7"/>
      <c r="H1719" s="15"/>
      <c r="I1719" s="16"/>
      <c r="J1719" s="7"/>
    </row>
    <row r="1720">
      <c r="A1720" s="7"/>
      <c r="B1720" s="7"/>
      <c r="C1720" s="7"/>
      <c r="D1720" s="7"/>
      <c r="E1720" s="7"/>
      <c r="F1720" s="7"/>
      <c r="G1720" s="7"/>
      <c r="H1720" s="15"/>
      <c r="I1720" s="16"/>
      <c r="J1720" s="7"/>
    </row>
    <row r="1721">
      <c r="A1721" s="7"/>
      <c r="B1721" s="7"/>
      <c r="C1721" s="7"/>
      <c r="D1721" s="7"/>
      <c r="E1721" s="7"/>
      <c r="F1721" s="7"/>
      <c r="G1721" s="7"/>
      <c r="H1721" s="15"/>
      <c r="I1721" s="16"/>
      <c r="J1721" s="7"/>
    </row>
    <row r="1722">
      <c r="A1722" s="7"/>
      <c r="B1722" s="7"/>
      <c r="C1722" s="7"/>
      <c r="D1722" s="7"/>
      <c r="E1722" s="7"/>
      <c r="F1722" s="7"/>
      <c r="G1722" s="7"/>
      <c r="H1722" s="15"/>
      <c r="I1722" s="16"/>
      <c r="J1722" s="7"/>
    </row>
    <row r="1723">
      <c r="A1723" s="7"/>
      <c r="B1723" s="7"/>
      <c r="C1723" s="7"/>
      <c r="D1723" s="7"/>
      <c r="E1723" s="7"/>
      <c r="F1723" s="7"/>
      <c r="G1723" s="7"/>
      <c r="H1723" s="15"/>
      <c r="I1723" s="16"/>
      <c r="J1723" s="7"/>
    </row>
    <row r="1724">
      <c r="A1724" s="7"/>
      <c r="B1724" s="7"/>
      <c r="C1724" s="7"/>
      <c r="D1724" s="7"/>
      <c r="E1724" s="7"/>
      <c r="F1724" s="7"/>
      <c r="G1724" s="7"/>
      <c r="H1724" s="15"/>
      <c r="I1724" s="16"/>
      <c r="J1724" s="7"/>
    </row>
    <row r="1725">
      <c r="A1725" s="7"/>
      <c r="B1725" s="7"/>
      <c r="C1725" s="7"/>
      <c r="D1725" s="7"/>
      <c r="E1725" s="7"/>
      <c r="F1725" s="7"/>
      <c r="G1725" s="7"/>
      <c r="H1725" s="15"/>
      <c r="I1725" s="16"/>
      <c r="J1725" s="7"/>
    </row>
    <row r="1726">
      <c r="A1726" s="7"/>
      <c r="B1726" s="7"/>
      <c r="C1726" s="7"/>
      <c r="D1726" s="7"/>
      <c r="E1726" s="7"/>
      <c r="F1726" s="7"/>
      <c r="G1726" s="7"/>
      <c r="H1726" s="15"/>
      <c r="I1726" s="16"/>
      <c r="J1726" s="7"/>
    </row>
    <row r="1727">
      <c r="A1727" s="7"/>
      <c r="B1727" s="7"/>
      <c r="C1727" s="7"/>
      <c r="D1727" s="7"/>
      <c r="E1727" s="7"/>
      <c r="F1727" s="7"/>
      <c r="G1727" s="7"/>
      <c r="H1727" s="15"/>
      <c r="I1727" s="16"/>
      <c r="J1727" s="7"/>
    </row>
    <row r="1728">
      <c r="A1728" s="7"/>
      <c r="B1728" s="7"/>
      <c r="C1728" s="7"/>
      <c r="D1728" s="7"/>
      <c r="E1728" s="7"/>
      <c r="F1728" s="7"/>
      <c r="G1728" s="7"/>
      <c r="H1728" s="15"/>
      <c r="I1728" s="16"/>
      <c r="J1728" s="7"/>
    </row>
    <row r="1729">
      <c r="A1729" s="7"/>
      <c r="B1729" s="7"/>
      <c r="C1729" s="7"/>
      <c r="D1729" s="7"/>
      <c r="E1729" s="7"/>
      <c r="F1729" s="7"/>
      <c r="G1729" s="7"/>
      <c r="H1729" s="15"/>
      <c r="I1729" s="16"/>
      <c r="J1729" s="7"/>
    </row>
    <row r="1730">
      <c r="A1730" s="7"/>
      <c r="B1730" s="7"/>
      <c r="C1730" s="7"/>
      <c r="D1730" s="7"/>
      <c r="E1730" s="7"/>
      <c r="F1730" s="7"/>
      <c r="G1730" s="7"/>
      <c r="H1730" s="15"/>
      <c r="I1730" s="16"/>
      <c r="J1730" s="7"/>
    </row>
    <row r="1731">
      <c r="A1731" s="7"/>
      <c r="B1731" s="7"/>
      <c r="C1731" s="7"/>
      <c r="D1731" s="7"/>
      <c r="E1731" s="7"/>
      <c r="F1731" s="7"/>
      <c r="G1731" s="7"/>
      <c r="H1731" s="15"/>
      <c r="I1731" s="16"/>
      <c r="J1731" s="7"/>
    </row>
    <row r="1732">
      <c r="A1732" s="7"/>
      <c r="B1732" s="7"/>
      <c r="C1732" s="7"/>
      <c r="D1732" s="7"/>
      <c r="E1732" s="7"/>
      <c r="F1732" s="7"/>
      <c r="G1732" s="7"/>
      <c r="H1732" s="15"/>
      <c r="I1732" s="16"/>
      <c r="J1732" s="7"/>
    </row>
    <row r="1733">
      <c r="A1733" s="7"/>
      <c r="B1733" s="7"/>
      <c r="C1733" s="7"/>
      <c r="D1733" s="7"/>
      <c r="E1733" s="7"/>
      <c r="F1733" s="7"/>
      <c r="G1733" s="7"/>
      <c r="H1733" s="15"/>
      <c r="I1733" s="16"/>
      <c r="J1733" s="7"/>
    </row>
    <row r="1734">
      <c r="A1734" s="7"/>
      <c r="B1734" s="7"/>
      <c r="C1734" s="7"/>
      <c r="D1734" s="7"/>
      <c r="E1734" s="7"/>
      <c r="F1734" s="7"/>
      <c r="G1734" s="7"/>
      <c r="H1734" s="15"/>
      <c r="I1734" s="16"/>
      <c r="J1734" s="7"/>
    </row>
    <row r="1735">
      <c r="A1735" s="7"/>
      <c r="B1735" s="7"/>
      <c r="C1735" s="7"/>
      <c r="D1735" s="7"/>
      <c r="E1735" s="7"/>
      <c r="F1735" s="7"/>
      <c r="G1735" s="7"/>
      <c r="H1735" s="15"/>
      <c r="I1735" s="16"/>
      <c r="J1735" s="7"/>
    </row>
    <row r="1736">
      <c r="A1736" s="7"/>
      <c r="B1736" s="7"/>
      <c r="C1736" s="7"/>
      <c r="D1736" s="7"/>
      <c r="E1736" s="7"/>
      <c r="F1736" s="7"/>
      <c r="G1736" s="7"/>
      <c r="H1736" s="15"/>
      <c r="I1736" s="16"/>
      <c r="J1736" s="7"/>
    </row>
    <row r="1737">
      <c r="A1737" s="7"/>
      <c r="B1737" s="7"/>
      <c r="C1737" s="7"/>
      <c r="D1737" s="7"/>
      <c r="E1737" s="7"/>
      <c r="F1737" s="7"/>
      <c r="G1737" s="7"/>
      <c r="H1737" s="15"/>
      <c r="I1737" s="16"/>
      <c r="J1737" s="7"/>
    </row>
    <row r="1738">
      <c r="A1738" s="7"/>
      <c r="B1738" s="7"/>
      <c r="C1738" s="7"/>
      <c r="D1738" s="7"/>
      <c r="E1738" s="7"/>
      <c r="F1738" s="7"/>
      <c r="G1738" s="7"/>
      <c r="H1738" s="15"/>
      <c r="I1738" s="16"/>
      <c r="J1738" s="7"/>
    </row>
    <row r="1739">
      <c r="A1739" s="7"/>
      <c r="B1739" s="7"/>
      <c r="C1739" s="7"/>
      <c r="D1739" s="7"/>
      <c r="E1739" s="7"/>
      <c r="F1739" s="7"/>
      <c r="G1739" s="7"/>
      <c r="H1739" s="15"/>
      <c r="I1739" s="16"/>
      <c r="J1739" s="7"/>
    </row>
    <row r="1740">
      <c r="A1740" s="7"/>
      <c r="B1740" s="7"/>
      <c r="C1740" s="7"/>
      <c r="D1740" s="7"/>
      <c r="E1740" s="7"/>
      <c r="F1740" s="7"/>
      <c r="G1740" s="7"/>
      <c r="H1740" s="15"/>
      <c r="I1740" s="16"/>
      <c r="J1740" s="7"/>
    </row>
    <row r="1741">
      <c r="A1741" s="7"/>
      <c r="B1741" s="7"/>
      <c r="C1741" s="7"/>
      <c r="D1741" s="7"/>
      <c r="E1741" s="7"/>
      <c r="F1741" s="7"/>
      <c r="G1741" s="7"/>
      <c r="H1741" s="15"/>
      <c r="I1741" s="16"/>
      <c r="J1741" s="7"/>
    </row>
    <row r="1742">
      <c r="A1742" s="7"/>
      <c r="B1742" s="7"/>
      <c r="C1742" s="7"/>
      <c r="D1742" s="7"/>
      <c r="E1742" s="7"/>
      <c r="F1742" s="7"/>
      <c r="G1742" s="7"/>
      <c r="H1742" s="15"/>
      <c r="I1742" s="16"/>
      <c r="J1742" s="7"/>
    </row>
    <row r="1743">
      <c r="A1743" s="7"/>
      <c r="B1743" s="7"/>
      <c r="C1743" s="7"/>
      <c r="D1743" s="7"/>
      <c r="E1743" s="7"/>
      <c r="F1743" s="7"/>
      <c r="G1743" s="7"/>
      <c r="H1743" s="15"/>
      <c r="I1743" s="16"/>
      <c r="J1743" s="7"/>
    </row>
    <row r="1744">
      <c r="A1744" s="7"/>
      <c r="B1744" s="7"/>
      <c r="C1744" s="7"/>
      <c r="D1744" s="7"/>
      <c r="E1744" s="7"/>
      <c r="F1744" s="7"/>
      <c r="G1744" s="7"/>
      <c r="H1744" s="15"/>
      <c r="I1744" s="16"/>
      <c r="J1744" s="7"/>
    </row>
    <row r="1745">
      <c r="A1745" s="7"/>
      <c r="B1745" s="7"/>
      <c r="C1745" s="7"/>
      <c r="D1745" s="7"/>
      <c r="E1745" s="7"/>
      <c r="F1745" s="7"/>
      <c r="G1745" s="7"/>
      <c r="H1745" s="15"/>
      <c r="I1745" s="16"/>
      <c r="J1745" s="7"/>
    </row>
    <row r="1746">
      <c r="A1746" s="7"/>
      <c r="B1746" s="7"/>
      <c r="C1746" s="7"/>
      <c r="D1746" s="7"/>
      <c r="E1746" s="7"/>
      <c r="F1746" s="7"/>
      <c r="G1746" s="7"/>
      <c r="H1746" s="15"/>
      <c r="I1746" s="16"/>
      <c r="J1746" s="7"/>
    </row>
    <row r="1747">
      <c r="A1747" s="7"/>
      <c r="B1747" s="7"/>
      <c r="C1747" s="7"/>
      <c r="D1747" s="7"/>
      <c r="E1747" s="7"/>
      <c r="F1747" s="7"/>
      <c r="G1747" s="7"/>
      <c r="H1747" s="15"/>
      <c r="I1747" s="16"/>
      <c r="J1747" s="7"/>
    </row>
    <row r="1748">
      <c r="A1748" s="7"/>
      <c r="B1748" s="7"/>
      <c r="C1748" s="7"/>
      <c r="D1748" s="7"/>
      <c r="E1748" s="7"/>
      <c r="F1748" s="7"/>
      <c r="G1748" s="7"/>
      <c r="H1748" s="15"/>
      <c r="I1748" s="16"/>
      <c r="J1748" s="7"/>
    </row>
    <row r="1749">
      <c r="A1749" s="7"/>
      <c r="B1749" s="7"/>
      <c r="C1749" s="7"/>
      <c r="D1749" s="7"/>
      <c r="E1749" s="7"/>
      <c r="F1749" s="7"/>
      <c r="G1749" s="7"/>
      <c r="H1749" s="15"/>
      <c r="I1749" s="16"/>
      <c r="J1749" s="7"/>
    </row>
    <row r="1750">
      <c r="A1750" s="7"/>
      <c r="B1750" s="7"/>
      <c r="C1750" s="7"/>
      <c r="D1750" s="7"/>
      <c r="E1750" s="7"/>
      <c r="F1750" s="7"/>
      <c r="G1750" s="7"/>
      <c r="H1750" s="15"/>
      <c r="I1750" s="16"/>
      <c r="J1750" s="7"/>
    </row>
    <row r="1751">
      <c r="A1751" s="7"/>
      <c r="B1751" s="7"/>
      <c r="C1751" s="7"/>
      <c r="D1751" s="7"/>
      <c r="E1751" s="7"/>
      <c r="F1751" s="7"/>
      <c r="G1751" s="7"/>
      <c r="H1751" s="15"/>
      <c r="I1751" s="16"/>
      <c r="J1751" s="7"/>
    </row>
    <row r="1752">
      <c r="A1752" s="7"/>
      <c r="B1752" s="7"/>
      <c r="C1752" s="7"/>
      <c r="D1752" s="7"/>
      <c r="E1752" s="7"/>
      <c r="F1752" s="7"/>
      <c r="G1752" s="7"/>
      <c r="H1752" s="15"/>
      <c r="I1752" s="16"/>
      <c r="J1752" s="7"/>
    </row>
    <row r="1753">
      <c r="A1753" s="7"/>
      <c r="B1753" s="7"/>
      <c r="C1753" s="7"/>
      <c r="D1753" s="7"/>
      <c r="E1753" s="7"/>
      <c r="F1753" s="7"/>
      <c r="G1753" s="7"/>
      <c r="H1753" s="15"/>
      <c r="I1753" s="16"/>
      <c r="J1753" s="7"/>
    </row>
    <row r="1754">
      <c r="A1754" s="7"/>
      <c r="B1754" s="7"/>
      <c r="C1754" s="7"/>
      <c r="D1754" s="7"/>
      <c r="E1754" s="7"/>
      <c r="F1754" s="7"/>
      <c r="G1754" s="7"/>
      <c r="H1754" s="15"/>
      <c r="I1754" s="16"/>
      <c r="J1754" s="7"/>
    </row>
    <row r="1755">
      <c r="A1755" s="7"/>
      <c r="B1755" s="7"/>
      <c r="C1755" s="7"/>
      <c r="D1755" s="7"/>
      <c r="E1755" s="7"/>
      <c r="F1755" s="7"/>
      <c r="G1755" s="7"/>
      <c r="H1755" s="15"/>
      <c r="I1755" s="16"/>
      <c r="J1755" s="7"/>
    </row>
    <row r="1756">
      <c r="A1756" s="7"/>
      <c r="B1756" s="7"/>
      <c r="C1756" s="7"/>
      <c r="D1756" s="7"/>
      <c r="E1756" s="7"/>
      <c r="F1756" s="7"/>
      <c r="G1756" s="7"/>
      <c r="H1756" s="15"/>
      <c r="I1756" s="16"/>
      <c r="J1756" s="7"/>
    </row>
    <row r="1757">
      <c r="A1757" s="7"/>
      <c r="B1757" s="7"/>
      <c r="C1757" s="7"/>
      <c r="D1757" s="7"/>
      <c r="E1757" s="7"/>
      <c r="F1757" s="7"/>
      <c r="G1757" s="7"/>
      <c r="H1757" s="15"/>
      <c r="I1757" s="16"/>
      <c r="J1757" s="7"/>
    </row>
    <row r="1758">
      <c r="A1758" s="7"/>
      <c r="B1758" s="7"/>
      <c r="C1758" s="7"/>
      <c r="D1758" s="7"/>
      <c r="E1758" s="7"/>
      <c r="F1758" s="7"/>
      <c r="G1758" s="7"/>
      <c r="H1758" s="15"/>
      <c r="I1758" s="16"/>
      <c r="J1758" s="7"/>
    </row>
    <row r="1759">
      <c r="A1759" s="7"/>
      <c r="B1759" s="7"/>
      <c r="C1759" s="7"/>
      <c r="D1759" s="7"/>
      <c r="E1759" s="7"/>
      <c r="F1759" s="7"/>
      <c r="G1759" s="7"/>
      <c r="H1759" s="15"/>
      <c r="I1759" s="16"/>
      <c r="J1759" s="7"/>
    </row>
    <row r="1760">
      <c r="A1760" s="7"/>
      <c r="B1760" s="7"/>
      <c r="C1760" s="7"/>
      <c r="D1760" s="7"/>
      <c r="E1760" s="7"/>
      <c r="F1760" s="7"/>
      <c r="G1760" s="7"/>
      <c r="H1760" s="15"/>
      <c r="I1760" s="16"/>
      <c r="J1760" s="7"/>
    </row>
    <row r="1761">
      <c r="A1761" s="7"/>
      <c r="B1761" s="7"/>
      <c r="C1761" s="7"/>
      <c r="D1761" s="7"/>
      <c r="E1761" s="7"/>
      <c r="F1761" s="7"/>
      <c r="G1761" s="7"/>
      <c r="H1761" s="15"/>
      <c r="I1761" s="16"/>
      <c r="J1761" s="7"/>
    </row>
    <row r="1762">
      <c r="A1762" s="7"/>
      <c r="B1762" s="7"/>
      <c r="C1762" s="7"/>
      <c r="D1762" s="7"/>
      <c r="E1762" s="7"/>
      <c r="F1762" s="7"/>
      <c r="G1762" s="7"/>
      <c r="H1762" s="15"/>
      <c r="I1762" s="16"/>
      <c r="J1762" s="7"/>
    </row>
    <row r="1763">
      <c r="A1763" s="7"/>
      <c r="B1763" s="7"/>
      <c r="C1763" s="7"/>
      <c r="D1763" s="7"/>
      <c r="E1763" s="7"/>
      <c r="F1763" s="7"/>
      <c r="G1763" s="7"/>
      <c r="H1763" s="15"/>
      <c r="I1763" s="16"/>
      <c r="J1763" s="7"/>
    </row>
    <row r="1764">
      <c r="A1764" s="7"/>
      <c r="B1764" s="7"/>
      <c r="C1764" s="7"/>
      <c r="D1764" s="7"/>
      <c r="E1764" s="7"/>
      <c r="F1764" s="7"/>
      <c r="G1764" s="7"/>
      <c r="H1764" s="15"/>
      <c r="I1764" s="16"/>
      <c r="J1764" s="7"/>
    </row>
    <row r="1765">
      <c r="A1765" s="7"/>
      <c r="B1765" s="7"/>
      <c r="C1765" s="7"/>
      <c r="D1765" s="7"/>
      <c r="E1765" s="7"/>
      <c r="F1765" s="7"/>
      <c r="G1765" s="7"/>
      <c r="H1765" s="15"/>
      <c r="I1765" s="16"/>
      <c r="J1765" s="7"/>
    </row>
    <row r="1766">
      <c r="A1766" s="7"/>
      <c r="B1766" s="7"/>
      <c r="C1766" s="7"/>
      <c r="D1766" s="7"/>
      <c r="E1766" s="7"/>
      <c r="F1766" s="7"/>
      <c r="G1766" s="7"/>
      <c r="H1766" s="15"/>
      <c r="I1766" s="16"/>
      <c r="J1766" s="7"/>
    </row>
    <row r="1767">
      <c r="A1767" s="7"/>
      <c r="B1767" s="7"/>
      <c r="C1767" s="7"/>
      <c r="D1767" s="7"/>
      <c r="E1767" s="7"/>
      <c r="F1767" s="7"/>
      <c r="G1767" s="7"/>
      <c r="H1767" s="15"/>
      <c r="I1767" s="16"/>
      <c r="J1767" s="7"/>
    </row>
    <row r="1768">
      <c r="A1768" s="7"/>
      <c r="B1768" s="7"/>
      <c r="C1768" s="7"/>
      <c r="D1768" s="7"/>
      <c r="E1768" s="7"/>
      <c r="F1768" s="7"/>
      <c r="G1768" s="7"/>
      <c r="H1768" s="15"/>
      <c r="I1768" s="16"/>
      <c r="J1768" s="7"/>
    </row>
    <row r="1769">
      <c r="A1769" s="7"/>
      <c r="B1769" s="7"/>
      <c r="C1769" s="7"/>
      <c r="D1769" s="7"/>
      <c r="E1769" s="7"/>
      <c r="F1769" s="7"/>
      <c r="G1769" s="7"/>
      <c r="H1769" s="15"/>
      <c r="I1769" s="16"/>
      <c r="J1769" s="7"/>
    </row>
    <row r="1770">
      <c r="A1770" s="7"/>
      <c r="B1770" s="7"/>
      <c r="C1770" s="7"/>
      <c r="D1770" s="7"/>
      <c r="E1770" s="7"/>
      <c r="F1770" s="7"/>
      <c r="G1770" s="7"/>
      <c r="H1770" s="15"/>
      <c r="I1770" s="16"/>
      <c r="J1770" s="7"/>
    </row>
    <row r="1771">
      <c r="A1771" s="7"/>
      <c r="B1771" s="7"/>
      <c r="C1771" s="7"/>
      <c r="D1771" s="7"/>
      <c r="E1771" s="7"/>
      <c r="F1771" s="7"/>
      <c r="G1771" s="7"/>
      <c r="H1771" s="15"/>
      <c r="I1771" s="16"/>
      <c r="J1771" s="7"/>
    </row>
    <row r="1772">
      <c r="A1772" s="7"/>
      <c r="B1772" s="7"/>
      <c r="C1772" s="7"/>
      <c r="D1772" s="7"/>
      <c r="E1772" s="7"/>
      <c r="F1772" s="7"/>
      <c r="G1772" s="7"/>
      <c r="H1772" s="15"/>
      <c r="I1772" s="16"/>
      <c r="J1772" s="7"/>
    </row>
    <row r="1773">
      <c r="A1773" s="7"/>
      <c r="B1773" s="7"/>
      <c r="C1773" s="7"/>
      <c r="D1773" s="7"/>
      <c r="E1773" s="7"/>
      <c r="F1773" s="7"/>
      <c r="G1773" s="7"/>
      <c r="H1773" s="15"/>
      <c r="I1773" s="16"/>
      <c r="J1773" s="7"/>
    </row>
    <row r="1774">
      <c r="A1774" s="7"/>
      <c r="B1774" s="7"/>
      <c r="C1774" s="7"/>
      <c r="D1774" s="7"/>
      <c r="E1774" s="7"/>
      <c r="F1774" s="7"/>
      <c r="G1774" s="7"/>
      <c r="H1774" s="15"/>
      <c r="I1774" s="16"/>
      <c r="J1774" s="7"/>
    </row>
    <row r="1775">
      <c r="A1775" s="7"/>
      <c r="B1775" s="7"/>
      <c r="C1775" s="7"/>
      <c r="D1775" s="7"/>
      <c r="E1775" s="7"/>
      <c r="F1775" s="7"/>
      <c r="G1775" s="7"/>
      <c r="H1775" s="15"/>
      <c r="I1775" s="16"/>
      <c r="J1775" s="7"/>
    </row>
    <row r="1776">
      <c r="A1776" s="7"/>
      <c r="B1776" s="7"/>
      <c r="C1776" s="7"/>
      <c r="D1776" s="7"/>
      <c r="E1776" s="7"/>
      <c r="F1776" s="7"/>
      <c r="G1776" s="7"/>
      <c r="H1776" s="15"/>
      <c r="I1776" s="16"/>
      <c r="J1776" s="7"/>
    </row>
    <row r="1777">
      <c r="A1777" s="7"/>
      <c r="B1777" s="7"/>
      <c r="C1777" s="7"/>
      <c r="D1777" s="7"/>
      <c r="E1777" s="7"/>
      <c r="F1777" s="7"/>
      <c r="G1777" s="7"/>
      <c r="H1777" s="15"/>
      <c r="I1777" s="16"/>
      <c r="J1777" s="7"/>
    </row>
    <row r="1778">
      <c r="A1778" s="7"/>
      <c r="B1778" s="7"/>
      <c r="C1778" s="7"/>
      <c r="D1778" s="7"/>
      <c r="E1778" s="7"/>
      <c r="F1778" s="7"/>
      <c r="G1778" s="7"/>
      <c r="H1778" s="15"/>
      <c r="I1778" s="16"/>
      <c r="J1778" s="7"/>
    </row>
    <row r="1779">
      <c r="A1779" s="7"/>
      <c r="B1779" s="7"/>
      <c r="C1779" s="7"/>
      <c r="D1779" s="7"/>
      <c r="E1779" s="7"/>
      <c r="F1779" s="7"/>
      <c r="G1779" s="7"/>
      <c r="H1779" s="15"/>
      <c r="I1779" s="16"/>
      <c r="J1779" s="7"/>
    </row>
    <row r="1780">
      <c r="A1780" s="7"/>
      <c r="B1780" s="7"/>
      <c r="C1780" s="7"/>
      <c r="D1780" s="7"/>
      <c r="E1780" s="7"/>
      <c r="F1780" s="7"/>
      <c r="G1780" s="7"/>
      <c r="H1780" s="15"/>
      <c r="I1780" s="16"/>
      <c r="J1780" s="7"/>
    </row>
    <row r="1781">
      <c r="A1781" s="7"/>
      <c r="B1781" s="7"/>
      <c r="C1781" s="7"/>
      <c r="D1781" s="7"/>
      <c r="E1781" s="7"/>
      <c r="F1781" s="7"/>
      <c r="G1781" s="7"/>
      <c r="H1781" s="15"/>
      <c r="I1781" s="16"/>
      <c r="J1781" s="7"/>
    </row>
    <row r="1782">
      <c r="A1782" s="7"/>
      <c r="B1782" s="7"/>
      <c r="C1782" s="7"/>
      <c r="D1782" s="7"/>
      <c r="E1782" s="7"/>
      <c r="F1782" s="7"/>
      <c r="G1782" s="7"/>
      <c r="H1782" s="15"/>
      <c r="I1782" s="16"/>
      <c r="J1782" s="7"/>
    </row>
    <row r="1783">
      <c r="A1783" s="7"/>
      <c r="B1783" s="7"/>
      <c r="C1783" s="7"/>
      <c r="D1783" s="7"/>
      <c r="E1783" s="7"/>
      <c r="F1783" s="7"/>
      <c r="G1783" s="7"/>
      <c r="H1783" s="15"/>
      <c r="I1783" s="16"/>
      <c r="J1783" s="7"/>
    </row>
    <row r="1784">
      <c r="A1784" s="7"/>
      <c r="B1784" s="7"/>
      <c r="C1784" s="7"/>
      <c r="D1784" s="7"/>
      <c r="E1784" s="7"/>
      <c r="F1784" s="7"/>
      <c r="G1784" s="7"/>
      <c r="H1784" s="15"/>
      <c r="I1784" s="16"/>
      <c r="J1784" s="7"/>
    </row>
    <row r="1785">
      <c r="A1785" s="7"/>
      <c r="B1785" s="7"/>
      <c r="C1785" s="7"/>
      <c r="D1785" s="7"/>
      <c r="E1785" s="7"/>
      <c r="F1785" s="7"/>
      <c r="G1785" s="7"/>
      <c r="H1785" s="15"/>
      <c r="I1785" s="16"/>
      <c r="J1785" s="7"/>
    </row>
    <row r="1786">
      <c r="A1786" s="7"/>
      <c r="B1786" s="7"/>
      <c r="C1786" s="7"/>
      <c r="D1786" s="7"/>
      <c r="E1786" s="7"/>
      <c r="F1786" s="7"/>
      <c r="G1786" s="7"/>
      <c r="H1786" s="15"/>
      <c r="I1786" s="16"/>
      <c r="J1786" s="7"/>
    </row>
    <row r="1787">
      <c r="A1787" s="7"/>
      <c r="B1787" s="7"/>
      <c r="C1787" s="7"/>
      <c r="D1787" s="7"/>
      <c r="E1787" s="7"/>
      <c r="F1787" s="7"/>
      <c r="G1787" s="7"/>
      <c r="H1787" s="15"/>
      <c r="I1787" s="16"/>
      <c r="J1787" s="7"/>
    </row>
    <row r="1788">
      <c r="A1788" s="7"/>
      <c r="B1788" s="7"/>
      <c r="C1788" s="7"/>
      <c r="D1788" s="7"/>
      <c r="E1788" s="7"/>
      <c r="F1788" s="7"/>
      <c r="G1788" s="7"/>
      <c r="H1788" s="15"/>
      <c r="I1788" s="16"/>
      <c r="J1788" s="7"/>
    </row>
    <row r="1789">
      <c r="A1789" s="7"/>
      <c r="B1789" s="7"/>
      <c r="C1789" s="7"/>
      <c r="D1789" s="7"/>
      <c r="E1789" s="7"/>
      <c r="F1789" s="7"/>
      <c r="G1789" s="7"/>
      <c r="H1789" s="15"/>
      <c r="I1789" s="16"/>
      <c r="J1789" s="7"/>
    </row>
    <row r="1790">
      <c r="A1790" s="7"/>
      <c r="B1790" s="7"/>
      <c r="C1790" s="7"/>
      <c r="D1790" s="7"/>
      <c r="E1790" s="7"/>
      <c r="F1790" s="7"/>
      <c r="G1790" s="7"/>
      <c r="H1790" s="15"/>
      <c r="I1790" s="16"/>
      <c r="J1790" s="7"/>
    </row>
    <row r="1791">
      <c r="A1791" s="7"/>
      <c r="B1791" s="7"/>
      <c r="C1791" s="7"/>
      <c r="D1791" s="7"/>
      <c r="E1791" s="7"/>
      <c r="F1791" s="7"/>
      <c r="G1791" s="7"/>
      <c r="H1791" s="15"/>
      <c r="I1791" s="16"/>
      <c r="J1791" s="7"/>
    </row>
    <row r="1792">
      <c r="A1792" s="7"/>
      <c r="B1792" s="7"/>
      <c r="C1792" s="7"/>
      <c r="D1792" s="7"/>
      <c r="E1792" s="7"/>
      <c r="F1792" s="7"/>
      <c r="G1792" s="7"/>
      <c r="H1792" s="15"/>
      <c r="I1792" s="16"/>
      <c r="J1792" s="7"/>
    </row>
    <row r="1793">
      <c r="A1793" s="7"/>
      <c r="B1793" s="7"/>
      <c r="C1793" s="7"/>
      <c r="D1793" s="7"/>
      <c r="E1793" s="7"/>
      <c r="F1793" s="7"/>
      <c r="G1793" s="7"/>
      <c r="H1793" s="15"/>
      <c r="I1793" s="16"/>
      <c r="J1793" s="7"/>
    </row>
    <row r="1794">
      <c r="A1794" s="7"/>
      <c r="B1794" s="7"/>
      <c r="C1794" s="7"/>
      <c r="D1794" s="7"/>
      <c r="E1794" s="7"/>
      <c r="F1794" s="7"/>
      <c r="G1794" s="7"/>
      <c r="H1794" s="15"/>
      <c r="I1794" s="16"/>
      <c r="J1794" s="7"/>
    </row>
    <row r="1795">
      <c r="A1795" s="7"/>
      <c r="B1795" s="7"/>
      <c r="C1795" s="7"/>
      <c r="D1795" s="7"/>
      <c r="E1795" s="7"/>
      <c r="F1795" s="7"/>
      <c r="G1795" s="7"/>
      <c r="H1795" s="15"/>
      <c r="I1795" s="16"/>
      <c r="J1795" s="7"/>
    </row>
    <row r="1796">
      <c r="A1796" s="7"/>
      <c r="B1796" s="7"/>
      <c r="C1796" s="7"/>
      <c r="D1796" s="7"/>
      <c r="E1796" s="7"/>
      <c r="F1796" s="7"/>
      <c r="G1796" s="7"/>
      <c r="H1796" s="15"/>
      <c r="I1796" s="16"/>
      <c r="J1796" s="7"/>
    </row>
    <row r="1797">
      <c r="A1797" s="7"/>
      <c r="B1797" s="7"/>
      <c r="C1797" s="7"/>
      <c r="D1797" s="7"/>
      <c r="E1797" s="7"/>
      <c r="F1797" s="7"/>
      <c r="G1797" s="7"/>
      <c r="H1797" s="15"/>
      <c r="I1797" s="16"/>
      <c r="J1797" s="7"/>
    </row>
    <row r="1798">
      <c r="A1798" s="7"/>
      <c r="B1798" s="7"/>
      <c r="C1798" s="7"/>
      <c r="D1798" s="7"/>
      <c r="E1798" s="7"/>
      <c r="F1798" s="7"/>
      <c r="G1798" s="7"/>
      <c r="H1798" s="15"/>
      <c r="I1798" s="16"/>
      <c r="J1798" s="7"/>
    </row>
    <row r="1799">
      <c r="A1799" s="7"/>
      <c r="B1799" s="7"/>
      <c r="C1799" s="7"/>
      <c r="D1799" s="7"/>
      <c r="E1799" s="7"/>
      <c r="F1799" s="7"/>
      <c r="G1799" s="7"/>
      <c r="H1799" s="15"/>
      <c r="I1799" s="16"/>
      <c r="J1799" s="7"/>
    </row>
    <row r="1800">
      <c r="A1800" s="7"/>
      <c r="B1800" s="7"/>
      <c r="C1800" s="7"/>
      <c r="D1800" s="7"/>
      <c r="E1800" s="7"/>
      <c r="F1800" s="7"/>
      <c r="G1800" s="7"/>
      <c r="H1800" s="15"/>
      <c r="I1800" s="16"/>
      <c r="J1800" s="7"/>
    </row>
    <row r="1801">
      <c r="A1801" s="7"/>
      <c r="B1801" s="7"/>
      <c r="C1801" s="7"/>
      <c r="D1801" s="7"/>
      <c r="E1801" s="7"/>
      <c r="F1801" s="7"/>
      <c r="G1801" s="7"/>
      <c r="H1801" s="15"/>
      <c r="I1801" s="16"/>
      <c r="J1801" s="7"/>
    </row>
    <row r="1802">
      <c r="A1802" s="7"/>
      <c r="B1802" s="7"/>
      <c r="C1802" s="7"/>
      <c r="D1802" s="7"/>
      <c r="E1802" s="7"/>
      <c r="F1802" s="7"/>
      <c r="G1802" s="7"/>
      <c r="H1802" s="15"/>
      <c r="I1802" s="16"/>
      <c r="J1802" s="7"/>
    </row>
    <row r="1803">
      <c r="A1803" s="7"/>
      <c r="B1803" s="7"/>
      <c r="C1803" s="7"/>
      <c r="D1803" s="7"/>
      <c r="E1803" s="7"/>
      <c r="F1803" s="7"/>
      <c r="G1803" s="7"/>
      <c r="H1803" s="15"/>
      <c r="I1803" s="16"/>
      <c r="J1803" s="7"/>
    </row>
    <row r="1804">
      <c r="A1804" s="7"/>
      <c r="B1804" s="7"/>
      <c r="C1804" s="7"/>
      <c r="D1804" s="7"/>
      <c r="E1804" s="7"/>
      <c r="F1804" s="7"/>
      <c r="G1804" s="7"/>
      <c r="H1804" s="15"/>
      <c r="I1804" s="16"/>
      <c r="J1804" s="7"/>
    </row>
    <row r="1805">
      <c r="A1805" s="7"/>
      <c r="B1805" s="7"/>
      <c r="C1805" s="7"/>
      <c r="D1805" s="7"/>
      <c r="E1805" s="7"/>
      <c r="F1805" s="7"/>
      <c r="G1805" s="7"/>
      <c r="H1805" s="15"/>
      <c r="I1805" s="16"/>
      <c r="J1805" s="7"/>
    </row>
    <row r="1806">
      <c r="A1806" s="7"/>
      <c r="B1806" s="7"/>
      <c r="C1806" s="7"/>
      <c r="D1806" s="7"/>
      <c r="E1806" s="7"/>
      <c r="F1806" s="7"/>
      <c r="G1806" s="7"/>
      <c r="H1806" s="15"/>
      <c r="I1806" s="16"/>
      <c r="J1806" s="7"/>
    </row>
    <row r="1807">
      <c r="A1807" s="7"/>
      <c r="B1807" s="7"/>
      <c r="C1807" s="7"/>
      <c r="D1807" s="7"/>
      <c r="E1807" s="7"/>
      <c r="F1807" s="7"/>
      <c r="G1807" s="7"/>
      <c r="H1807" s="15"/>
      <c r="I1807" s="16"/>
      <c r="J1807" s="7"/>
    </row>
    <row r="1808">
      <c r="A1808" s="7"/>
      <c r="B1808" s="7"/>
      <c r="C1808" s="7"/>
      <c r="D1808" s="7"/>
      <c r="E1808" s="7"/>
      <c r="F1808" s="7"/>
      <c r="G1808" s="7"/>
      <c r="H1808" s="15"/>
      <c r="I1808" s="16"/>
      <c r="J1808" s="7"/>
    </row>
    <row r="1809">
      <c r="A1809" s="7"/>
      <c r="B1809" s="7"/>
      <c r="C1809" s="7"/>
      <c r="D1809" s="7"/>
      <c r="E1809" s="7"/>
      <c r="F1809" s="7"/>
      <c r="G1809" s="7"/>
      <c r="H1809" s="15"/>
      <c r="I1809" s="16"/>
      <c r="J1809" s="7"/>
    </row>
    <row r="1810">
      <c r="A1810" s="7"/>
      <c r="B1810" s="7"/>
      <c r="C1810" s="7"/>
      <c r="D1810" s="7"/>
      <c r="E1810" s="7"/>
      <c r="F1810" s="7"/>
      <c r="G1810" s="7"/>
      <c r="H1810" s="15"/>
      <c r="I1810" s="16"/>
      <c r="J1810" s="7"/>
    </row>
    <row r="1811">
      <c r="A1811" s="7"/>
      <c r="B1811" s="7"/>
      <c r="C1811" s="7"/>
      <c r="D1811" s="7"/>
      <c r="E1811" s="7"/>
      <c r="F1811" s="7"/>
      <c r="G1811" s="7"/>
      <c r="H1811" s="15"/>
      <c r="I1811" s="16"/>
      <c r="J1811" s="7"/>
    </row>
    <row r="1812">
      <c r="A1812" s="7"/>
      <c r="B1812" s="7"/>
      <c r="C1812" s="7"/>
      <c r="D1812" s="7"/>
      <c r="E1812" s="7"/>
      <c r="F1812" s="7"/>
      <c r="G1812" s="7"/>
      <c r="H1812" s="15"/>
      <c r="I1812" s="16"/>
      <c r="J1812" s="7"/>
    </row>
    <row r="1813">
      <c r="A1813" s="7"/>
      <c r="B1813" s="7"/>
      <c r="C1813" s="7"/>
      <c r="D1813" s="7"/>
      <c r="E1813" s="7"/>
      <c r="F1813" s="7"/>
      <c r="G1813" s="7"/>
      <c r="H1813" s="15"/>
      <c r="I1813" s="16"/>
      <c r="J1813" s="7"/>
    </row>
    <row r="1814">
      <c r="A1814" s="7"/>
      <c r="B1814" s="7"/>
      <c r="C1814" s="7"/>
      <c r="D1814" s="7"/>
      <c r="E1814" s="7"/>
      <c r="F1814" s="7"/>
      <c r="G1814" s="7"/>
      <c r="H1814" s="15"/>
      <c r="I1814" s="16"/>
      <c r="J1814" s="7"/>
    </row>
    <row r="1815">
      <c r="A1815" s="7"/>
      <c r="B1815" s="7"/>
      <c r="C1815" s="7"/>
      <c r="D1815" s="7"/>
      <c r="E1815" s="7"/>
      <c r="F1815" s="7"/>
      <c r="G1815" s="7"/>
      <c r="H1815" s="15"/>
      <c r="I1815" s="16"/>
      <c r="J1815" s="7"/>
    </row>
    <row r="1816">
      <c r="A1816" s="7"/>
      <c r="B1816" s="7"/>
      <c r="C1816" s="7"/>
      <c r="D1816" s="7"/>
      <c r="E1816" s="7"/>
      <c r="F1816" s="7"/>
      <c r="G1816" s="7"/>
      <c r="H1816" s="15"/>
      <c r="I1816" s="16"/>
      <c r="J1816" s="7"/>
    </row>
    <row r="1817">
      <c r="A1817" s="7"/>
      <c r="B1817" s="7"/>
      <c r="C1817" s="7"/>
      <c r="D1817" s="7"/>
      <c r="E1817" s="7"/>
      <c r="F1817" s="7"/>
      <c r="G1817" s="7"/>
      <c r="H1817" s="15"/>
      <c r="I1817" s="16"/>
      <c r="J1817" s="7"/>
    </row>
    <row r="1818">
      <c r="A1818" s="7"/>
      <c r="B1818" s="7"/>
      <c r="C1818" s="7"/>
      <c r="D1818" s="7"/>
      <c r="E1818" s="7"/>
      <c r="F1818" s="7"/>
      <c r="G1818" s="7"/>
      <c r="H1818" s="15"/>
      <c r="I1818" s="16"/>
      <c r="J1818" s="7"/>
    </row>
    <row r="1819">
      <c r="A1819" s="7"/>
      <c r="B1819" s="7"/>
      <c r="C1819" s="7"/>
      <c r="D1819" s="7"/>
      <c r="E1819" s="7"/>
      <c r="F1819" s="7"/>
      <c r="G1819" s="7"/>
      <c r="H1819" s="15"/>
      <c r="I1819" s="16"/>
      <c r="J1819" s="7"/>
    </row>
    <row r="1820">
      <c r="A1820" s="7"/>
      <c r="B1820" s="7"/>
      <c r="C1820" s="7"/>
      <c r="D1820" s="7"/>
      <c r="E1820" s="7"/>
      <c r="F1820" s="7"/>
      <c r="G1820" s="7"/>
      <c r="H1820" s="15"/>
      <c r="I1820" s="16"/>
      <c r="J1820" s="7"/>
    </row>
    <row r="1821">
      <c r="A1821" s="7"/>
      <c r="B1821" s="7"/>
      <c r="C1821" s="7"/>
      <c r="D1821" s="7"/>
      <c r="E1821" s="7"/>
      <c r="F1821" s="7"/>
      <c r="G1821" s="7"/>
      <c r="H1821" s="15"/>
      <c r="I1821" s="16"/>
      <c r="J1821" s="7"/>
    </row>
    <row r="1822">
      <c r="A1822" s="7"/>
      <c r="B1822" s="7"/>
      <c r="C1822" s="7"/>
      <c r="D1822" s="7"/>
      <c r="E1822" s="7"/>
      <c r="F1822" s="7"/>
      <c r="G1822" s="7"/>
      <c r="H1822" s="15"/>
      <c r="I1822" s="16"/>
      <c r="J1822" s="7"/>
    </row>
    <row r="1823">
      <c r="A1823" s="7"/>
      <c r="B1823" s="7"/>
      <c r="C1823" s="7"/>
      <c r="D1823" s="7"/>
      <c r="E1823" s="7"/>
      <c r="F1823" s="7"/>
      <c r="G1823" s="7"/>
      <c r="H1823" s="15"/>
      <c r="I1823" s="16"/>
      <c r="J1823" s="7"/>
    </row>
    <row r="1824">
      <c r="A1824" s="7"/>
      <c r="B1824" s="7"/>
      <c r="C1824" s="7"/>
      <c r="D1824" s="7"/>
      <c r="E1824" s="7"/>
      <c r="F1824" s="7"/>
      <c r="G1824" s="7"/>
      <c r="H1824" s="15"/>
      <c r="I1824" s="16"/>
      <c r="J1824" s="7"/>
    </row>
    <row r="1825">
      <c r="A1825" s="7"/>
      <c r="B1825" s="7"/>
      <c r="C1825" s="7"/>
      <c r="D1825" s="7"/>
      <c r="E1825" s="7"/>
      <c r="F1825" s="7"/>
      <c r="G1825" s="7"/>
      <c r="H1825" s="15"/>
      <c r="I1825" s="16"/>
      <c r="J1825" s="7"/>
    </row>
    <row r="1826">
      <c r="A1826" s="7"/>
      <c r="B1826" s="7"/>
      <c r="C1826" s="7"/>
      <c r="D1826" s="7"/>
      <c r="E1826" s="7"/>
      <c r="F1826" s="7"/>
      <c r="G1826" s="7"/>
      <c r="H1826" s="15"/>
      <c r="I1826" s="16"/>
      <c r="J1826" s="7"/>
    </row>
    <row r="1827">
      <c r="A1827" s="7"/>
      <c r="B1827" s="7"/>
      <c r="C1827" s="7"/>
      <c r="D1827" s="7"/>
      <c r="E1827" s="7"/>
      <c r="F1827" s="7"/>
      <c r="G1827" s="7"/>
      <c r="H1827" s="15"/>
      <c r="I1827" s="16"/>
      <c r="J1827" s="7"/>
    </row>
    <row r="1828">
      <c r="A1828" s="7"/>
      <c r="B1828" s="7"/>
      <c r="C1828" s="7"/>
      <c r="D1828" s="7"/>
      <c r="E1828" s="7"/>
      <c r="F1828" s="7"/>
      <c r="G1828" s="7"/>
      <c r="H1828" s="15"/>
      <c r="I1828" s="16"/>
      <c r="J1828" s="7"/>
    </row>
    <row r="1829">
      <c r="A1829" s="7"/>
      <c r="B1829" s="7"/>
      <c r="C1829" s="7"/>
      <c r="D1829" s="7"/>
      <c r="E1829" s="7"/>
      <c r="F1829" s="7"/>
      <c r="G1829" s="7"/>
      <c r="H1829" s="15"/>
      <c r="I1829" s="16"/>
      <c r="J1829" s="7"/>
    </row>
    <row r="1830">
      <c r="A1830" s="7"/>
      <c r="B1830" s="7"/>
      <c r="C1830" s="7"/>
      <c r="D1830" s="7"/>
      <c r="E1830" s="7"/>
      <c r="F1830" s="7"/>
      <c r="G1830" s="7"/>
      <c r="H1830" s="15"/>
      <c r="I1830" s="16"/>
      <c r="J1830" s="7"/>
    </row>
    <row r="1831">
      <c r="A1831" s="7"/>
      <c r="B1831" s="7"/>
      <c r="C1831" s="7"/>
      <c r="D1831" s="7"/>
      <c r="E1831" s="7"/>
      <c r="F1831" s="7"/>
      <c r="G1831" s="7"/>
      <c r="H1831" s="15"/>
      <c r="I1831" s="16"/>
      <c r="J1831" s="7"/>
    </row>
    <row r="1832">
      <c r="A1832" s="7"/>
      <c r="B1832" s="7"/>
      <c r="C1832" s="7"/>
      <c r="D1832" s="7"/>
      <c r="E1832" s="7"/>
      <c r="F1832" s="7"/>
      <c r="G1832" s="7"/>
      <c r="H1832" s="15"/>
      <c r="I1832" s="16"/>
      <c r="J1832" s="7"/>
    </row>
    <row r="1833">
      <c r="A1833" s="7"/>
      <c r="B1833" s="7"/>
      <c r="C1833" s="7"/>
      <c r="D1833" s="7"/>
      <c r="E1833" s="7"/>
      <c r="F1833" s="7"/>
      <c r="G1833" s="7"/>
      <c r="H1833" s="15"/>
      <c r="I1833" s="16"/>
      <c r="J1833" s="7"/>
    </row>
    <row r="1834">
      <c r="A1834" s="7"/>
      <c r="B1834" s="7"/>
      <c r="C1834" s="7"/>
      <c r="D1834" s="7"/>
      <c r="E1834" s="7"/>
      <c r="F1834" s="7"/>
      <c r="G1834" s="7"/>
      <c r="H1834" s="15"/>
      <c r="I1834" s="16"/>
      <c r="J1834" s="7"/>
    </row>
    <row r="1835">
      <c r="A1835" s="7"/>
      <c r="B1835" s="7"/>
      <c r="C1835" s="7"/>
      <c r="D1835" s="7"/>
      <c r="E1835" s="7"/>
      <c r="F1835" s="7"/>
      <c r="G1835" s="7"/>
      <c r="H1835" s="15"/>
      <c r="I1835" s="16"/>
      <c r="J1835" s="7"/>
    </row>
    <row r="1836">
      <c r="A1836" s="7"/>
      <c r="B1836" s="7"/>
      <c r="C1836" s="7"/>
      <c r="D1836" s="7"/>
      <c r="E1836" s="7"/>
      <c r="F1836" s="7"/>
      <c r="G1836" s="7"/>
      <c r="H1836" s="15"/>
      <c r="I1836" s="16"/>
      <c r="J1836" s="7"/>
    </row>
    <row r="1837">
      <c r="A1837" s="7"/>
      <c r="B1837" s="7"/>
      <c r="C1837" s="7"/>
      <c r="D1837" s="7"/>
      <c r="E1837" s="7"/>
      <c r="F1837" s="7"/>
      <c r="G1837" s="7"/>
      <c r="H1837" s="15"/>
      <c r="I1837" s="16"/>
      <c r="J1837" s="7"/>
    </row>
    <row r="1838">
      <c r="A1838" s="7"/>
      <c r="B1838" s="7"/>
      <c r="C1838" s="7"/>
      <c r="D1838" s="7"/>
      <c r="E1838" s="7"/>
      <c r="F1838" s="7"/>
      <c r="G1838" s="7"/>
      <c r="H1838" s="15"/>
      <c r="I1838" s="16"/>
      <c r="J1838" s="7"/>
    </row>
    <row r="1839">
      <c r="A1839" s="7"/>
      <c r="B1839" s="7"/>
      <c r="C1839" s="7"/>
      <c r="D1839" s="7"/>
      <c r="E1839" s="7"/>
      <c r="F1839" s="7"/>
      <c r="G1839" s="7"/>
      <c r="H1839" s="15"/>
      <c r="I1839" s="16"/>
      <c r="J1839" s="7"/>
    </row>
    <row r="1840">
      <c r="A1840" s="7"/>
      <c r="B1840" s="7"/>
      <c r="C1840" s="7"/>
      <c r="D1840" s="7"/>
      <c r="E1840" s="7"/>
      <c r="F1840" s="7"/>
      <c r="G1840" s="7"/>
      <c r="H1840" s="15"/>
      <c r="I1840" s="16"/>
      <c r="J1840" s="7"/>
    </row>
    <row r="1841">
      <c r="A1841" s="7"/>
      <c r="B1841" s="7"/>
      <c r="C1841" s="7"/>
      <c r="D1841" s="7"/>
      <c r="E1841" s="7"/>
      <c r="F1841" s="7"/>
      <c r="G1841" s="7"/>
      <c r="H1841" s="15"/>
      <c r="I1841" s="16"/>
      <c r="J1841" s="7"/>
    </row>
    <row r="1842">
      <c r="A1842" s="7"/>
      <c r="B1842" s="7"/>
      <c r="C1842" s="7"/>
      <c r="D1842" s="7"/>
      <c r="E1842" s="7"/>
      <c r="F1842" s="7"/>
      <c r="G1842" s="7"/>
      <c r="H1842" s="15"/>
      <c r="I1842" s="16"/>
      <c r="J1842" s="7"/>
    </row>
    <row r="1843">
      <c r="A1843" s="7"/>
      <c r="B1843" s="7"/>
      <c r="C1843" s="7"/>
      <c r="D1843" s="7"/>
      <c r="E1843" s="7"/>
      <c r="F1843" s="7"/>
      <c r="G1843" s="7"/>
      <c r="H1843" s="15"/>
      <c r="I1843" s="16"/>
      <c r="J1843" s="7"/>
    </row>
    <row r="1844">
      <c r="A1844" s="7"/>
      <c r="B1844" s="7"/>
      <c r="C1844" s="7"/>
      <c r="D1844" s="7"/>
      <c r="E1844" s="7"/>
      <c r="F1844" s="7"/>
      <c r="G1844" s="7"/>
      <c r="H1844" s="15"/>
      <c r="I1844" s="16"/>
      <c r="J1844" s="7"/>
    </row>
    <row r="1845">
      <c r="A1845" s="7"/>
      <c r="B1845" s="7"/>
      <c r="C1845" s="7"/>
      <c r="D1845" s="7"/>
      <c r="E1845" s="7"/>
      <c r="F1845" s="7"/>
      <c r="G1845" s="7"/>
      <c r="H1845" s="15"/>
      <c r="I1845" s="16"/>
      <c r="J1845" s="7"/>
    </row>
    <row r="1846">
      <c r="A1846" s="7"/>
      <c r="B1846" s="7"/>
      <c r="C1846" s="7"/>
      <c r="D1846" s="7"/>
      <c r="E1846" s="7"/>
      <c r="F1846" s="7"/>
      <c r="G1846" s="7"/>
      <c r="H1846" s="15"/>
      <c r="I1846" s="16"/>
      <c r="J1846" s="7"/>
    </row>
    <row r="1847">
      <c r="A1847" s="7"/>
      <c r="B1847" s="7"/>
      <c r="C1847" s="7"/>
      <c r="D1847" s="7"/>
      <c r="E1847" s="7"/>
      <c r="F1847" s="7"/>
      <c r="G1847" s="7"/>
      <c r="H1847" s="15"/>
      <c r="I1847" s="16"/>
      <c r="J1847" s="7"/>
    </row>
    <row r="1848">
      <c r="A1848" s="7"/>
      <c r="B1848" s="7"/>
      <c r="C1848" s="7"/>
      <c r="D1848" s="7"/>
      <c r="E1848" s="7"/>
      <c r="F1848" s="7"/>
      <c r="G1848" s="7"/>
      <c r="H1848" s="15"/>
      <c r="I1848" s="16"/>
      <c r="J1848" s="7"/>
    </row>
    <row r="1849">
      <c r="A1849" s="7"/>
      <c r="B1849" s="7"/>
      <c r="C1849" s="7"/>
      <c r="D1849" s="7"/>
      <c r="E1849" s="7"/>
      <c r="F1849" s="7"/>
      <c r="G1849" s="7"/>
      <c r="H1849" s="15"/>
      <c r="I1849" s="16"/>
      <c r="J1849" s="7"/>
    </row>
    <row r="1850">
      <c r="A1850" s="7"/>
      <c r="B1850" s="7"/>
      <c r="C1850" s="7"/>
      <c r="D1850" s="7"/>
      <c r="E1850" s="7"/>
      <c r="F1850" s="7"/>
      <c r="G1850" s="7"/>
      <c r="H1850" s="15"/>
      <c r="I1850" s="16"/>
      <c r="J1850" s="7"/>
    </row>
    <row r="1851">
      <c r="A1851" s="7"/>
      <c r="B1851" s="7"/>
      <c r="C1851" s="7"/>
      <c r="D1851" s="7"/>
      <c r="E1851" s="7"/>
      <c r="F1851" s="7"/>
      <c r="G1851" s="7"/>
      <c r="H1851" s="15"/>
      <c r="I1851" s="16"/>
      <c r="J1851" s="7"/>
    </row>
    <row r="1852">
      <c r="A1852" s="7"/>
      <c r="B1852" s="7"/>
      <c r="C1852" s="7"/>
      <c r="D1852" s="7"/>
      <c r="E1852" s="7"/>
      <c r="F1852" s="7"/>
      <c r="G1852" s="7"/>
      <c r="H1852" s="15"/>
      <c r="I1852" s="16"/>
      <c r="J1852" s="7"/>
    </row>
    <row r="1853">
      <c r="A1853" s="7"/>
      <c r="B1853" s="7"/>
      <c r="C1853" s="7"/>
      <c r="D1853" s="7"/>
      <c r="E1853" s="7"/>
      <c r="F1853" s="7"/>
      <c r="G1853" s="7"/>
      <c r="H1853" s="15"/>
      <c r="I1853" s="16"/>
      <c r="J1853" s="7"/>
    </row>
    <row r="1854">
      <c r="A1854" s="7"/>
      <c r="B1854" s="7"/>
      <c r="C1854" s="7"/>
      <c r="D1854" s="7"/>
      <c r="E1854" s="7"/>
      <c r="F1854" s="7"/>
      <c r="G1854" s="7"/>
      <c r="H1854" s="15"/>
      <c r="I1854" s="16"/>
      <c r="J1854" s="7"/>
    </row>
    <row r="1855">
      <c r="A1855" s="7"/>
      <c r="B1855" s="7"/>
      <c r="C1855" s="7"/>
      <c r="D1855" s="7"/>
      <c r="E1855" s="7"/>
      <c r="F1855" s="7"/>
      <c r="G1855" s="7"/>
      <c r="H1855" s="15"/>
      <c r="I1855" s="16"/>
      <c r="J1855" s="7"/>
    </row>
    <row r="1856">
      <c r="A1856" s="7"/>
      <c r="B1856" s="7"/>
      <c r="C1856" s="7"/>
      <c r="D1856" s="7"/>
      <c r="E1856" s="7"/>
      <c r="F1856" s="7"/>
      <c r="G1856" s="7"/>
      <c r="H1856" s="15"/>
      <c r="I1856" s="16"/>
      <c r="J1856" s="7"/>
    </row>
    <row r="1857">
      <c r="A1857" s="7"/>
      <c r="B1857" s="7"/>
      <c r="C1857" s="7"/>
      <c r="D1857" s="7"/>
      <c r="E1857" s="7"/>
      <c r="F1857" s="7"/>
      <c r="G1857" s="7"/>
      <c r="H1857" s="15"/>
      <c r="I1857" s="16"/>
      <c r="J1857" s="7"/>
    </row>
    <row r="1858">
      <c r="A1858" s="7"/>
      <c r="B1858" s="7"/>
      <c r="C1858" s="7"/>
      <c r="D1858" s="7"/>
      <c r="E1858" s="7"/>
      <c r="F1858" s="7"/>
      <c r="G1858" s="7"/>
      <c r="H1858" s="15"/>
      <c r="I1858" s="16"/>
      <c r="J1858" s="7"/>
    </row>
    <row r="1859">
      <c r="A1859" s="7"/>
      <c r="B1859" s="7"/>
      <c r="C1859" s="7"/>
      <c r="D1859" s="7"/>
      <c r="E1859" s="7"/>
      <c r="F1859" s="7"/>
      <c r="G1859" s="7"/>
      <c r="H1859" s="15"/>
      <c r="I1859" s="16"/>
      <c r="J1859" s="7"/>
    </row>
    <row r="1860">
      <c r="A1860" s="7"/>
      <c r="B1860" s="7"/>
      <c r="C1860" s="7"/>
      <c r="D1860" s="7"/>
      <c r="E1860" s="7"/>
      <c r="F1860" s="7"/>
      <c r="G1860" s="7"/>
      <c r="H1860" s="15"/>
      <c r="I1860" s="16"/>
      <c r="J1860" s="7"/>
    </row>
    <row r="1861">
      <c r="A1861" s="7"/>
      <c r="B1861" s="7"/>
      <c r="C1861" s="7"/>
      <c r="D1861" s="7"/>
      <c r="E1861" s="7"/>
      <c r="F1861" s="7"/>
      <c r="G1861" s="7"/>
      <c r="H1861" s="15"/>
      <c r="I1861" s="16"/>
      <c r="J1861" s="7"/>
    </row>
    <row r="1862">
      <c r="A1862" s="7"/>
      <c r="B1862" s="7"/>
      <c r="C1862" s="7"/>
      <c r="D1862" s="7"/>
      <c r="E1862" s="7"/>
      <c r="F1862" s="7"/>
      <c r="G1862" s="7"/>
      <c r="H1862" s="15"/>
      <c r="I1862" s="16"/>
      <c r="J1862" s="7"/>
    </row>
    <row r="1863">
      <c r="A1863" s="7"/>
      <c r="B1863" s="7"/>
      <c r="C1863" s="7"/>
      <c r="D1863" s="7"/>
      <c r="E1863" s="7"/>
      <c r="F1863" s="7"/>
      <c r="G1863" s="7"/>
      <c r="H1863" s="15"/>
      <c r="I1863" s="16"/>
      <c r="J1863" s="7"/>
    </row>
    <row r="1864">
      <c r="A1864" s="7"/>
      <c r="B1864" s="7"/>
      <c r="C1864" s="7"/>
      <c r="D1864" s="7"/>
      <c r="E1864" s="7"/>
      <c r="F1864" s="7"/>
      <c r="G1864" s="7"/>
      <c r="H1864" s="15"/>
      <c r="I1864" s="16"/>
      <c r="J1864" s="7"/>
    </row>
    <row r="1865">
      <c r="A1865" s="7"/>
      <c r="B1865" s="7"/>
      <c r="C1865" s="7"/>
      <c r="D1865" s="7"/>
      <c r="E1865" s="7"/>
      <c r="F1865" s="7"/>
      <c r="G1865" s="7"/>
      <c r="H1865" s="15"/>
      <c r="I1865" s="16"/>
      <c r="J1865" s="7"/>
    </row>
    <row r="1866">
      <c r="A1866" s="7"/>
      <c r="B1866" s="7"/>
      <c r="C1866" s="7"/>
      <c r="D1866" s="7"/>
      <c r="E1866" s="7"/>
      <c r="F1866" s="7"/>
      <c r="G1866" s="7"/>
      <c r="H1866" s="15"/>
      <c r="I1866" s="16"/>
      <c r="J1866" s="7"/>
    </row>
    <row r="1867">
      <c r="A1867" s="7"/>
      <c r="B1867" s="7"/>
      <c r="C1867" s="7"/>
      <c r="D1867" s="7"/>
      <c r="E1867" s="7"/>
      <c r="F1867" s="7"/>
      <c r="G1867" s="7"/>
      <c r="H1867" s="15"/>
      <c r="I1867" s="16"/>
      <c r="J1867" s="7"/>
    </row>
    <row r="1868">
      <c r="A1868" s="7"/>
      <c r="B1868" s="7"/>
      <c r="C1868" s="7"/>
      <c r="D1868" s="7"/>
      <c r="E1868" s="7"/>
      <c r="F1868" s="7"/>
      <c r="G1868" s="7"/>
      <c r="H1868" s="15"/>
      <c r="I1868" s="16"/>
      <c r="J1868" s="7"/>
    </row>
    <row r="1869">
      <c r="A1869" s="7"/>
      <c r="B1869" s="7"/>
      <c r="C1869" s="7"/>
      <c r="D1869" s="7"/>
      <c r="E1869" s="7"/>
      <c r="F1869" s="7"/>
      <c r="G1869" s="7"/>
      <c r="H1869" s="15"/>
      <c r="I1869" s="16"/>
      <c r="J1869" s="7"/>
    </row>
    <row r="1870">
      <c r="A1870" s="7"/>
      <c r="B1870" s="7"/>
      <c r="C1870" s="7"/>
      <c r="D1870" s="7"/>
      <c r="E1870" s="7"/>
      <c r="F1870" s="7"/>
      <c r="G1870" s="7"/>
      <c r="H1870" s="15"/>
      <c r="I1870" s="16"/>
      <c r="J1870" s="7"/>
    </row>
    <row r="1871">
      <c r="A1871" s="7"/>
      <c r="B1871" s="7"/>
      <c r="C1871" s="7"/>
      <c r="D1871" s="7"/>
      <c r="E1871" s="7"/>
      <c r="F1871" s="7"/>
      <c r="G1871" s="7"/>
      <c r="H1871" s="15"/>
      <c r="I1871" s="16"/>
      <c r="J1871" s="7"/>
    </row>
    <row r="1872">
      <c r="A1872" s="7"/>
      <c r="B1872" s="7"/>
      <c r="C1872" s="7"/>
      <c r="D1872" s="7"/>
      <c r="E1872" s="7"/>
      <c r="F1872" s="7"/>
      <c r="G1872" s="7"/>
      <c r="H1872" s="15"/>
      <c r="I1872" s="16"/>
      <c r="J1872" s="7"/>
    </row>
    <row r="1873">
      <c r="A1873" s="7"/>
      <c r="B1873" s="7"/>
      <c r="C1873" s="7"/>
      <c r="D1873" s="7"/>
      <c r="E1873" s="7"/>
      <c r="F1873" s="7"/>
      <c r="G1873" s="7"/>
      <c r="H1873" s="15"/>
      <c r="I1873" s="16"/>
      <c r="J1873" s="7"/>
    </row>
    <row r="1874">
      <c r="A1874" s="7"/>
      <c r="B1874" s="7"/>
      <c r="C1874" s="7"/>
      <c r="D1874" s="7"/>
      <c r="E1874" s="7"/>
      <c r="F1874" s="7"/>
      <c r="G1874" s="7"/>
      <c r="H1874" s="15"/>
      <c r="I1874" s="16"/>
      <c r="J1874" s="7"/>
    </row>
    <row r="1875">
      <c r="A1875" s="7"/>
      <c r="B1875" s="7"/>
      <c r="C1875" s="7"/>
      <c r="D1875" s="7"/>
      <c r="E1875" s="7"/>
      <c r="F1875" s="7"/>
      <c r="G1875" s="7"/>
      <c r="H1875" s="15"/>
      <c r="I1875" s="16"/>
      <c r="J1875" s="7"/>
    </row>
    <row r="1876">
      <c r="A1876" s="7"/>
      <c r="B1876" s="7"/>
      <c r="C1876" s="7"/>
      <c r="D1876" s="7"/>
      <c r="E1876" s="7"/>
      <c r="F1876" s="7"/>
      <c r="G1876" s="7"/>
      <c r="H1876" s="15"/>
      <c r="I1876" s="16"/>
      <c r="J1876" s="7"/>
    </row>
    <row r="1877">
      <c r="A1877" s="7"/>
      <c r="B1877" s="7"/>
      <c r="C1877" s="7"/>
      <c r="D1877" s="7"/>
      <c r="E1877" s="7"/>
      <c r="F1877" s="7"/>
      <c r="G1877" s="7"/>
      <c r="H1877" s="15"/>
      <c r="I1877" s="16"/>
      <c r="J1877" s="7"/>
    </row>
    <row r="1878">
      <c r="A1878" s="7"/>
      <c r="B1878" s="7"/>
      <c r="C1878" s="7"/>
      <c r="D1878" s="7"/>
      <c r="E1878" s="7"/>
      <c r="F1878" s="7"/>
      <c r="G1878" s="7"/>
      <c r="H1878" s="15"/>
      <c r="I1878" s="16"/>
      <c r="J1878" s="7"/>
    </row>
    <row r="1879">
      <c r="A1879" s="7"/>
      <c r="B1879" s="7"/>
      <c r="C1879" s="7"/>
      <c r="D1879" s="7"/>
      <c r="E1879" s="7"/>
      <c r="F1879" s="7"/>
      <c r="G1879" s="7"/>
      <c r="H1879" s="15"/>
      <c r="I1879" s="16"/>
      <c r="J1879" s="7"/>
    </row>
    <row r="1880">
      <c r="A1880" s="7"/>
      <c r="B1880" s="7"/>
      <c r="C1880" s="7"/>
      <c r="D1880" s="7"/>
      <c r="E1880" s="7"/>
      <c r="F1880" s="7"/>
      <c r="G1880" s="7"/>
      <c r="H1880" s="15"/>
      <c r="I1880" s="16"/>
      <c r="J1880" s="7"/>
    </row>
    <row r="1881">
      <c r="A1881" s="7"/>
      <c r="B1881" s="7"/>
      <c r="C1881" s="7"/>
      <c r="D1881" s="7"/>
      <c r="E1881" s="7"/>
      <c r="F1881" s="7"/>
      <c r="G1881" s="7"/>
      <c r="H1881" s="15"/>
      <c r="I1881" s="16"/>
      <c r="J1881" s="7"/>
    </row>
    <row r="1882">
      <c r="A1882" s="7"/>
      <c r="B1882" s="7"/>
      <c r="C1882" s="7"/>
      <c r="D1882" s="7"/>
      <c r="E1882" s="7"/>
      <c r="F1882" s="7"/>
      <c r="G1882" s="7"/>
      <c r="H1882" s="15"/>
      <c r="I1882" s="16"/>
      <c r="J1882" s="7"/>
    </row>
    <row r="1883">
      <c r="A1883" s="7"/>
      <c r="B1883" s="7"/>
      <c r="C1883" s="7"/>
      <c r="D1883" s="7"/>
      <c r="E1883" s="7"/>
      <c r="F1883" s="7"/>
      <c r="G1883" s="7"/>
      <c r="H1883" s="15"/>
      <c r="I1883" s="16"/>
      <c r="J1883" s="7"/>
    </row>
    <row r="1884">
      <c r="A1884" s="7"/>
      <c r="B1884" s="7"/>
      <c r="C1884" s="7"/>
      <c r="D1884" s="7"/>
      <c r="E1884" s="7"/>
      <c r="F1884" s="7"/>
      <c r="G1884" s="7"/>
      <c r="H1884" s="15"/>
      <c r="I1884" s="16"/>
      <c r="J1884" s="7"/>
    </row>
    <row r="1885">
      <c r="A1885" s="7"/>
      <c r="B1885" s="7"/>
      <c r="C1885" s="7"/>
      <c r="D1885" s="7"/>
      <c r="E1885" s="7"/>
      <c r="F1885" s="7"/>
      <c r="G1885" s="7"/>
      <c r="H1885" s="15"/>
      <c r="I1885" s="16"/>
      <c r="J1885" s="7"/>
    </row>
    <row r="1886">
      <c r="A1886" s="7"/>
      <c r="B1886" s="7"/>
      <c r="C1886" s="7"/>
      <c r="D1886" s="7"/>
      <c r="E1886" s="7"/>
      <c r="F1886" s="7"/>
      <c r="G1886" s="7"/>
      <c r="H1886" s="15"/>
      <c r="I1886" s="16"/>
      <c r="J1886" s="7"/>
    </row>
    <row r="1887">
      <c r="A1887" s="7"/>
      <c r="B1887" s="7"/>
      <c r="C1887" s="7"/>
      <c r="D1887" s="7"/>
      <c r="E1887" s="7"/>
      <c r="F1887" s="7"/>
      <c r="G1887" s="7"/>
      <c r="H1887" s="15"/>
      <c r="I1887" s="16"/>
      <c r="J1887" s="7"/>
    </row>
    <row r="1888">
      <c r="A1888" s="7"/>
      <c r="B1888" s="7"/>
      <c r="C1888" s="7"/>
      <c r="D1888" s="7"/>
      <c r="E1888" s="7"/>
      <c r="F1888" s="7"/>
      <c r="G1888" s="7"/>
      <c r="H1888" s="15"/>
      <c r="I1888" s="16"/>
      <c r="J1888" s="7"/>
    </row>
    <row r="1889">
      <c r="A1889" s="7"/>
      <c r="B1889" s="7"/>
      <c r="C1889" s="7"/>
      <c r="D1889" s="7"/>
      <c r="E1889" s="7"/>
      <c r="F1889" s="7"/>
      <c r="G1889" s="7"/>
      <c r="H1889" s="15"/>
      <c r="I1889" s="16"/>
      <c r="J1889" s="7"/>
    </row>
    <row r="1890">
      <c r="A1890" s="7"/>
      <c r="B1890" s="7"/>
      <c r="C1890" s="7"/>
      <c r="D1890" s="7"/>
      <c r="E1890" s="7"/>
      <c r="F1890" s="7"/>
      <c r="G1890" s="7"/>
      <c r="H1890" s="15"/>
      <c r="I1890" s="16"/>
      <c r="J1890" s="7"/>
    </row>
    <row r="1891">
      <c r="A1891" s="7"/>
      <c r="B1891" s="7"/>
      <c r="C1891" s="7"/>
      <c r="D1891" s="7"/>
      <c r="E1891" s="7"/>
      <c r="F1891" s="7"/>
      <c r="G1891" s="7"/>
      <c r="H1891" s="15"/>
      <c r="I1891" s="16"/>
      <c r="J1891" s="7"/>
    </row>
    <row r="1892">
      <c r="A1892" s="7"/>
      <c r="B1892" s="7"/>
      <c r="C1892" s="7"/>
      <c r="D1892" s="7"/>
      <c r="E1892" s="7"/>
      <c r="F1892" s="7"/>
      <c r="G1892" s="7"/>
      <c r="H1892" s="15"/>
      <c r="I1892" s="16"/>
      <c r="J1892" s="7"/>
    </row>
    <row r="1893">
      <c r="A1893" s="7"/>
      <c r="B1893" s="7"/>
      <c r="C1893" s="7"/>
      <c r="D1893" s="7"/>
      <c r="E1893" s="7"/>
      <c r="F1893" s="7"/>
      <c r="G1893" s="7"/>
      <c r="H1893" s="15"/>
      <c r="I1893" s="16"/>
      <c r="J1893" s="7"/>
    </row>
    <row r="1894">
      <c r="A1894" s="7"/>
      <c r="B1894" s="7"/>
      <c r="C1894" s="7"/>
      <c r="D1894" s="7"/>
      <c r="E1894" s="7"/>
      <c r="F1894" s="7"/>
      <c r="G1894" s="7"/>
      <c r="H1894" s="15"/>
      <c r="I1894" s="16"/>
      <c r="J1894" s="7"/>
    </row>
    <row r="1895">
      <c r="A1895" s="7"/>
      <c r="B1895" s="7"/>
      <c r="C1895" s="7"/>
      <c r="D1895" s="7"/>
      <c r="E1895" s="7"/>
      <c r="F1895" s="7"/>
      <c r="G1895" s="7"/>
      <c r="H1895" s="15"/>
      <c r="I1895" s="16"/>
      <c r="J1895" s="7"/>
    </row>
    <row r="1896">
      <c r="A1896" s="7"/>
      <c r="B1896" s="7"/>
      <c r="C1896" s="7"/>
      <c r="D1896" s="7"/>
      <c r="E1896" s="7"/>
      <c r="F1896" s="7"/>
      <c r="G1896" s="7"/>
      <c r="H1896" s="15"/>
      <c r="I1896" s="16"/>
      <c r="J1896" s="7"/>
    </row>
    <row r="1897">
      <c r="A1897" s="7"/>
      <c r="B1897" s="7"/>
      <c r="C1897" s="7"/>
      <c r="D1897" s="7"/>
      <c r="E1897" s="7"/>
      <c r="F1897" s="7"/>
      <c r="G1897" s="7"/>
      <c r="H1897" s="15"/>
      <c r="I1897" s="16"/>
      <c r="J1897" s="7"/>
    </row>
  </sheetData>
  <dataValidations>
    <dataValidation type="list" allowBlank="1" showErrorMessage="1" sqref="F7">
      <formula1>"DAILY,WEEKLY"</formula1>
    </dataValidation>
    <dataValidation type="list" allowBlank="1" showErrorMessage="1" sqref="F2">
      <formula1>$B$2:$B$11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2.57"/>
    <col customWidth="1" min="3" max="3" width="68.14"/>
    <col customWidth="1" min="4" max="7" width="28.29"/>
    <col customWidth="1" min="8" max="8" width="13.43"/>
    <col customWidth="1" min="9" max="9" width="27.29"/>
    <col customWidth="1" min="10" max="11" width="13.43"/>
    <col customWidth="1" min="12" max="12" width="15.14"/>
    <col customWidth="1" min="13" max="14" width="68.14"/>
    <col customWidth="1" min="15" max="15" width="15.0"/>
  </cols>
  <sheetData>
    <row r="1">
      <c r="A1" s="25" t="s">
        <v>237</v>
      </c>
      <c r="B1" s="26" t="s">
        <v>238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>
      <c r="A2" s="25" t="s">
        <v>239</v>
      </c>
      <c r="B2" s="10" t="s">
        <v>240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>
      <c r="A4" s="27" t="str">
        <f>IFERROR(__xludf.DUMMYFUNCTION("IMPORTRANGE($B$1, $B$2)"),"#")</f>
        <v>#</v>
      </c>
      <c r="B4" s="28" t="str">
        <f>IFERROR(__xludf.DUMMYFUNCTION("""COMPUTED_VALUE"""),"Date")</f>
        <v>Date</v>
      </c>
      <c r="C4" s="28" t="str">
        <f>IFERROR(__xludf.DUMMYFUNCTION("""COMPUTED_VALUE"""),"Title")</f>
        <v>Title</v>
      </c>
      <c r="D4" s="28" t="str">
        <f>IFERROR(__xludf.DUMMYFUNCTION("""COMPUTED_VALUE"""),"Location")</f>
        <v>Location</v>
      </c>
      <c r="E4" s="28" t="str">
        <f>IFERROR(__xludf.DUMMYFUNCTION("""COMPUTED_VALUE"""),"Company")</f>
        <v>Company</v>
      </c>
      <c r="F4" s="28" t="str">
        <f>IFERROR(__xludf.DUMMYFUNCTION("""COMPUTED_VALUE"""),"Salary_raw")</f>
        <v>Salary_raw</v>
      </c>
      <c r="G4" s="28" t="str">
        <f>IFERROR(__xludf.DUMMYFUNCTION("""COMPUTED_VALUE"""),"Salary (€)")</f>
        <v>Salary (€)</v>
      </c>
      <c r="H4" s="28" t="str">
        <f>IFERROR(__xludf.DUMMYFUNCTION("""COMPUTED_VALUE"""),"Salary Type")</f>
        <v>Salary Type</v>
      </c>
      <c r="I4" s="28" t="str">
        <f>IFERROR(__xludf.DUMMYFUNCTION("""COMPUTED_VALUE"""),"Salary Yearly (€)")</f>
        <v>Salary Yearly (€)</v>
      </c>
      <c r="J4" s="28" t="str">
        <f>IFERROR(__xludf.DUMMYFUNCTION("""COMPUTED_VALUE"""),"Skills")</f>
        <v>Skills</v>
      </c>
      <c r="K4" s="28" t="str">
        <f>IFERROR(__xludf.DUMMYFUNCTION("""COMPUTED_VALUE"""),"Job Type")</f>
        <v>Job Type</v>
      </c>
      <c r="L4" s="28" t="str">
        <f>IFERROR(__xludf.DUMMYFUNCTION("""COMPUTED_VALUE"""),"Rating")</f>
        <v>Rating</v>
      </c>
      <c r="M4" s="28"/>
      <c r="N4" s="28"/>
      <c r="O4" s="28"/>
    </row>
    <row r="5">
      <c r="A5" s="29">
        <f>IFERROR(__xludf.DUMMYFUNCTION("""COMPUTED_VALUE"""),1.0)</f>
        <v>1</v>
      </c>
      <c r="B5" s="7" t="str">
        <f>IFERROR(__xludf.DUMMYFUNCTION("""COMPUTED_VALUE"""),"vor 7 Tagen")</f>
        <v>vor 7 Tagen</v>
      </c>
      <c r="C5" s="7" t="str">
        <f>IFERROR(__xludf.DUMMYFUNCTION("""COMPUTED_VALUE"""),"AI Data Scientist / Signal Processing (f/m/d)")</f>
        <v>AI Data Scientist / Signal Processing (f/m/d)</v>
      </c>
      <c r="D5" s="7" t="str">
        <f>IFERROR(__xludf.DUMMYFUNCTION("""COMPUTED_VALUE"""),"Berlin")</f>
        <v>Berlin</v>
      </c>
      <c r="E5" s="7" t="str">
        <f>IFERROR(__xludf.DUMMYFUNCTION("""COMPUTED_VALUE"""),"WOW Tech Group")</f>
        <v>WOW Tech Group</v>
      </c>
      <c r="F5" s="7" t="str">
        <f>IFERROR(__xludf.DUMMYFUNCTION("""COMPUTED_VALUE"""),"None")</f>
        <v>None</v>
      </c>
      <c r="G5" s="7" t="str">
        <f>IFERROR(__xludf.DUMMYFUNCTION("""COMPUTED_VALUE"""),"No salary data")</f>
        <v>No salary data</v>
      </c>
      <c r="H5" s="7" t="str">
        <f>IFERROR(__xludf.DUMMYFUNCTION("""COMPUTED_VALUE"""),"No salary data")</f>
        <v>No salary data</v>
      </c>
      <c r="I5" s="7" t="str">
        <f>IFERROR(__xludf.DUMMYFUNCTION("""COMPUTED_VALUE"""),"No salary data")</f>
        <v>No salary data</v>
      </c>
      <c r="J5" s="7" t="str">
        <f>IFERROR(__xludf.DUMMYFUNCTION("""COMPUTED_VALUE"""),"Python, Machine Learning, Deep Learning, Statistic")</f>
        <v>Python, Machine Learning, Deep Learning, Statistic</v>
      </c>
      <c r="K5" s="7" t="str">
        <f>IFERROR(__xludf.DUMMYFUNCTION("""COMPUTED_VALUE"""),"No job type data")</f>
        <v>No job type data</v>
      </c>
      <c r="L5" s="7" t="str">
        <f>IFERROR(__xludf.DUMMYFUNCTION("""COMPUTED_VALUE"""),"4,9")</f>
        <v>4,9</v>
      </c>
      <c r="M5" s="7"/>
      <c r="N5" s="7"/>
      <c r="O5" s="7"/>
    </row>
    <row r="6">
      <c r="A6" s="29">
        <f>IFERROR(__xludf.DUMMYFUNCTION("""COMPUTED_VALUE"""),2.0)</f>
        <v>2</v>
      </c>
      <c r="B6" s="7" t="str">
        <f>IFERROR(__xludf.DUMMYFUNCTION("""COMPUTED_VALUE"""),"Vor mehr als 30 Tagen")</f>
        <v>Vor mehr als 30 Tagen</v>
      </c>
      <c r="C6" s="7" t="str">
        <f>IFERROR(__xludf.DUMMYFUNCTION("""COMPUTED_VALUE"""),"Jr Data Scientist")</f>
        <v>Jr Data Scientist</v>
      </c>
      <c r="D6" s="7" t="str">
        <f>IFERROR(__xludf.DUMMYFUNCTION("""COMPUTED_VALUE"""),"Berlin")</f>
        <v>Berlin</v>
      </c>
      <c r="E6" s="7" t="str">
        <f>IFERROR(__xludf.DUMMYFUNCTION("""COMPUTED_VALUE"""),"Quantum Brains")</f>
        <v>Quantum Brains</v>
      </c>
      <c r="F6" s="7" t="str">
        <f>IFERROR(__xludf.DUMMYFUNCTION("""COMPUTED_VALUE"""),"None")</f>
        <v>None</v>
      </c>
      <c r="G6" s="7" t="str">
        <f>IFERROR(__xludf.DUMMYFUNCTION("""COMPUTED_VALUE"""),"No salary data")</f>
        <v>No salary data</v>
      </c>
      <c r="H6" s="7" t="str">
        <f>IFERROR(__xludf.DUMMYFUNCTION("""COMPUTED_VALUE"""),"No salary data")</f>
        <v>No salary data</v>
      </c>
      <c r="I6" s="7" t="str">
        <f>IFERROR(__xludf.DUMMYFUNCTION("""COMPUTED_VALUE"""),"No salary data")</f>
        <v>No salary data</v>
      </c>
      <c r="J6" s="7" t="str">
        <f>IFERROR(__xludf.DUMMYFUNCTION("""COMPUTED_VALUE"""),"Python, Machine Learning, Statistic, Git, Linux")</f>
        <v>Python, Machine Learning, Statistic, Git, Linux</v>
      </c>
      <c r="K6" s="7" t="str">
        <f>IFERROR(__xludf.DUMMYFUNCTION("""COMPUTED_VALUE"""),"No job type data")</f>
        <v>No job type data</v>
      </c>
      <c r="L6" s="7" t="str">
        <f>IFERROR(__xludf.DUMMYFUNCTION("""COMPUTED_VALUE"""),"None")</f>
        <v>None</v>
      </c>
      <c r="M6" s="7"/>
      <c r="N6" s="7"/>
      <c r="O6" s="7"/>
    </row>
    <row r="7">
      <c r="A7" s="29">
        <f>IFERROR(__xludf.DUMMYFUNCTION("""COMPUTED_VALUE"""),3.0)</f>
        <v>3</v>
      </c>
      <c r="B7" s="7" t="str">
        <f>IFERROR(__xludf.DUMMYFUNCTION("""COMPUTED_VALUE"""),"vor 5 Tagen")</f>
        <v>vor 5 Tagen</v>
      </c>
      <c r="C7" s="7" t="str">
        <f>IFERROR(__xludf.DUMMYFUNCTION("""COMPUTED_VALUE"""),"Research Scientist (f/m/d) - Visual Data Science")</f>
        <v>Research Scientist (f/m/d) - Visual Data Science</v>
      </c>
      <c r="D7" s="7" t="str">
        <f>IFERROR(__xludf.DUMMYFUNCTION("""COMPUTED_VALUE"""),"München")</f>
        <v>München</v>
      </c>
      <c r="E7" s="7" t="str">
        <f>IFERROR(__xludf.DUMMYFUNCTION("""COMPUTED_VALUE"""),"Siemens AG")</f>
        <v>Siemens AG</v>
      </c>
      <c r="F7" s="7" t="str">
        <f>IFERROR(__xludf.DUMMYFUNCTION("""COMPUTED_VALUE"""),"None")</f>
        <v>None</v>
      </c>
      <c r="G7" s="7" t="str">
        <f>IFERROR(__xludf.DUMMYFUNCTION("""COMPUTED_VALUE"""),"No salary data")</f>
        <v>No salary data</v>
      </c>
      <c r="H7" s="7" t="str">
        <f>IFERROR(__xludf.DUMMYFUNCTION("""COMPUTED_VALUE"""),"No salary data")</f>
        <v>No salary data</v>
      </c>
      <c r="I7" s="7" t="str">
        <f>IFERROR(__xludf.DUMMYFUNCTION("""COMPUTED_VALUE"""),"No salary data")</f>
        <v>No salary data</v>
      </c>
      <c r="J7" s="7" t="str">
        <f>IFERROR(__xludf.DUMMYFUNCTION("""COMPUTED_VALUE"""),"Python, Tableau")</f>
        <v>Python, Tableau</v>
      </c>
      <c r="K7" s="7" t="str">
        <f>IFERROR(__xludf.DUMMYFUNCTION("""COMPUTED_VALUE"""),"Full-Time")</f>
        <v>Full-Time</v>
      </c>
      <c r="L7" s="7" t="str">
        <f>IFERROR(__xludf.DUMMYFUNCTION("""COMPUTED_VALUE"""),"4,0")</f>
        <v>4,0</v>
      </c>
      <c r="M7" s="7"/>
      <c r="N7" s="7"/>
      <c r="O7" s="7"/>
    </row>
    <row r="8">
      <c r="A8" s="29">
        <f>IFERROR(__xludf.DUMMYFUNCTION("""COMPUTED_VALUE"""),4.0)</f>
        <v>4</v>
      </c>
      <c r="B8" s="7" t="str">
        <f>IFERROR(__xludf.DUMMYFUNCTION("""COMPUTED_VALUE"""),"Vor mehr als 30 Tagen")</f>
        <v>Vor mehr als 30 Tagen</v>
      </c>
      <c r="C8" s="7" t="str">
        <f>IFERROR(__xludf.DUMMYFUNCTION("""COMPUTED_VALUE"""),"Data Analyst")</f>
        <v>Data Analyst</v>
      </c>
      <c r="D8" s="7" t="str">
        <f>IFERROR(__xludf.DUMMYFUNCTION("""COMPUTED_VALUE"""),"Berlin")</f>
        <v>Berlin</v>
      </c>
      <c r="E8" s="7" t="str">
        <f>IFERROR(__xludf.DUMMYFUNCTION("""COMPUTED_VALUE"""),"Fy")</f>
        <v>Fy</v>
      </c>
      <c r="F8" s="7" t="str">
        <f>IFERROR(__xludf.DUMMYFUNCTION("""COMPUTED_VALUE"""),"None")</f>
        <v>None</v>
      </c>
      <c r="G8" s="7" t="str">
        <f>IFERROR(__xludf.DUMMYFUNCTION("""COMPUTED_VALUE"""),"No salary data")</f>
        <v>No salary data</v>
      </c>
      <c r="H8" s="7" t="str">
        <f>IFERROR(__xludf.DUMMYFUNCTION("""COMPUTED_VALUE"""),"No salary data")</f>
        <v>No salary data</v>
      </c>
      <c r="I8" s="7" t="str">
        <f>IFERROR(__xludf.DUMMYFUNCTION("""COMPUTED_VALUE"""),"No salary data")</f>
        <v>No salary data</v>
      </c>
      <c r="J8" s="7" t="str">
        <f>IFERROR(__xludf.DUMMYFUNCTION("""COMPUTED_VALUE"""),"Python, SQL, Statistic, Git")</f>
        <v>Python, SQL, Statistic, Git</v>
      </c>
      <c r="K8" s="7" t="str">
        <f>IFERROR(__xludf.DUMMYFUNCTION("""COMPUTED_VALUE"""),"Full-Time")</f>
        <v>Full-Time</v>
      </c>
      <c r="L8" s="7" t="str">
        <f>IFERROR(__xludf.DUMMYFUNCTION("""COMPUTED_VALUE"""),"None")</f>
        <v>None</v>
      </c>
      <c r="M8" s="7"/>
      <c r="N8" s="7"/>
      <c r="O8" s="7"/>
    </row>
    <row r="9">
      <c r="A9" s="29">
        <f>IFERROR(__xludf.DUMMYFUNCTION("""COMPUTED_VALUE"""),5.0)</f>
        <v>5</v>
      </c>
      <c r="B9" s="7" t="str">
        <f>IFERROR(__xludf.DUMMYFUNCTION("""COMPUTED_VALUE"""),"Vor mehr als 30 Tagen")</f>
        <v>Vor mehr als 30 Tagen</v>
      </c>
      <c r="C9" s="7" t="str">
        <f>IFERROR(__xludf.DUMMYFUNCTION("""COMPUTED_VALUE"""),"Junior Data Consultant (m/f/d)")</f>
        <v>Junior Data Consultant (m/f/d)</v>
      </c>
      <c r="D9" s="7" t="str">
        <f>IFERROR(__xludf.DUMMYFUNCTION("""COMPUTED_VALUE"""),"Hamburg")</f>
        <v>Hamburg</v>
      </c>
      <c r="E9" s="7" t="str">
        <f>IFERROR(__xludf.DUMMYFUNCTION("""COMPUTED_VALUE"""),"Artefact")</f>
        <v>Artefact</v>
      </c>
      <c r="F9" s="7" t="str">
        <f>IFERROR(__xludf.DUMMYFUNCTION("""COMPUTED_VALUE"""),"None")</f>
        <v>None</v>
      </c>
      <c r="G9" s="7" t="str">
        <f>IFERROR(__xludf.DUMMYFUNCTION("""COMPUTED_VALUE"""),"No salary data")</f>
        <v>No salary data</v>
      </c>
      <c r="H9" s="7" t="str">
        <f>IFERROR(__xludf.DUMMYFUNCTION("""COMPUTED_VALUE"""),"No salary data")</f>
        <v>No salary data</v>
      </c>
      <c r="I9" s="7" t="str">
        <f>IFERROR(__xludf.DUMMYFUNCTION("""COMPUTED_VALUE"""),"No salary data")</f>
        <v>No salary data</v>
      </c>
      <c r="J9" s="7" t="str">
        <f>IFERROR(__xludf.DUMMYFUNCTION("""COMPUTED_VALUE"""),"Git, Agile")</f>
        <v>Git, Agile</v>
      </c>
      <c r="K9" s="7" t="str">
        <f>IFERROR(__xludf.DUMMYFUNCTION("""COMPUTED_VALUE"""),"No job type data")</f>
        <v>No job type data</v>
      </c>
      <c r="L9" s="7" t="str">
        <f>IFERROR(__xludf.DUMMYFUNCTION("""COMPUTED_VALUE"""),"None")</f>
        <v>None</v>
      </c>
      <c r="M9" s="7"/>
      <c r="N9" s="7"/>
      <c r="O9" s="7"/>
    </row>
    <row r="10">
      <c r="A10" s="29">
        <f>IFERROR(__xludf.DUMMYFUNCTION("""COMPUTED_VALUE"""),6.0)</f>
        <v>6</v>
      </c>
      <c r="B10" s="7" t="str">
        <f>IFERROR(__xludf.DUMMYFUNCTION("""COMPUTED_VALUE"""),"Vor mehr als 30 Tagen")</f>
        <v>Vor mehr als 30 Tagen</v>
      </c>
      <c r="C10" s="7" t="str">
        <f>IFERROR(__xludf.DUMMYFUNCTION("""COMPUTED_VALUE"""),"Data Scientist")</f>
        <v>Data Scientist</v>
      </c>
      <c r="D10" s="7" t="str">
        <f>IFERROR(__xludf.DUMMYFUNCTION("""COMPUTED_VALUE"""),"Berlin")</f>
        <v>Berlin</v>
      </c>
      <c r="E10" s="7" t="str">
        <f>IFERROR(__xludf.DUMMYFUNCTION("""COMPUTED_VALUE"""),"Quantum Brains")</f>
        <v>Quantum Brains</v>
      </c>
      <c r="F10" s="7" t="str">
        <f>IFERROR(__xludf.DUMMYFUNCTION("""COMPUTED_VALUE"""),"None")</f>
        <v>None</v>
      </c>
      <c r="G10" s="7" t="str">
        <f>IFERROR(__xludf.DUMMYFUNCTION("""COMPUTED_VALUE"""),"No salary data")</f>
        <v>No salary data</v>
      </c>
      <c r="H10" s="7" t="str">
        <f>IFERROR(__xludf.DUMMYFUNCTION("""COMPUTED_VALUE"""),"No salary data")</f>
        <v>No salary data</v>
      </c>
      <c r="I10" s="7" t="str">
        <f>IFERROR(__xludf.DUMMYFUNCTION("""COMPUTED_VALUE"""),"No salary data")</f>
        <v>No salary data</v>
      </c>
      <c r="J10" s="7" t="str">
        <f>IFERROR(__xludf.DUMMYFUNCTION("""COMPUTED_VALUE"""),"Python, Machine Learning, Statistic, Git, Linux")</f>
        <v>Python, Machine Learning, Statistic, Git, Linux</v>
      </c>
      <c r="K10" s="7" t="str">
        <f>IFERROR(__xludf.DUMMYFUNCTION("""COMPUTED_VALUE"""),"No job type data")</f>
        <v>No job type data</v>
      </c>
      <c r="L10" s="7" t="str">
        <f>IFERROR(__xludf.DUMMYFUNCTION("""COMPUTED_VALUE"""),"None")</f>
        <v>None</v>
      </c>
      <c r="M10" s="7"/>
      <c r="N10" s="7"/>
      <c r="O10" s="7"/>
    </row>
    <row r="11">
      <c r="A11" s="29">
        <f>IFERROR(__xludf.DUMMYFUNCTION("""COMPUTED_VALUE"""),7.0)</f>
        <v>7</v>
      </c>
      <c r="B11" s="7" t="str">
        <f>IFERROR(__xludf.DUMMYFUNCTION("""COMPUTED_VALUE"""),"Vor mehr als 30 Tagen")</f>
        <v>Vor mehr als 30 Tagen</v>
      </c>
      <c r="C11" s="7" t="str">
        <f>IFERROR(__xludf.DUMMYFUNCTION("""COMPUTED_VALUE"""),"International Fellow (m/f/d) with focus on climate change an...")</f>
        <v>International Fellow (m/f/d) with focus on climate change an...</v>
      </c>
      <c r="D11" s="7" t="str">
        <f>IFERROR(__xludf.DUMMYFUNCTION("""COMPUTED_VALUE"""),"Berlin")</f>
        <v>Berlin</v>
      </c>
      <c r="E11" s="7" t="str">
        <f>IFERROR(__xludf.DUMMYFUNCTION("""COMPUTED_VALUE"""),"Ecologic Institut")</f>
        <v>Ecologic Institut</v>
      </c>
      <c r="F11" s="7" t="str">
        <f>IFERROR(__xludf.DUMMYFUNCTION("""COMPUTED_VALUE"""),"None")</f>
        <v>None</v>
      </c>
      <c r="G11" s="7" t="str">
        <f>IFERROR(__xludf.DUMMYFUNCTION("""COMPUTED_VALUE"""),"No salary data")</f>
        <v>No salary data</v>
      </c>
      <c r="H11" s="7" t="str">
        <f>IFERROR(__xludf.DUMMYFUNCTION("""COMPUTED_VALUE"""),"No salary data")</f>
        <v>No salary data</v>
      </c>
      <c r="I11" s="7" t="str">
        <f>IFERROR(__xludf.DUMMYFUNCTION("""COMPUTED_VALUE"""),"No salary data")</f>
        <v>No salary data</v>
      </c>
      <c r="J11" s="7" t="str">
        <f>IFERROR(__xludf.DUMMYFUNCTION("""COMPUTED_VALUE"""),"Git")</f>
        <v>Git</v>
      </c>
      <c r="K11" s="7" t="str">
        <f>IFERROR(__xludf.DUMMYFUNCTION("""COMPUTED_VALUE"""),"Part-Time")</f>
        <v>Part-Time</v>
      </c>
      <c r="L11" s="7" t="str">
        <f>IFERROR(__xludf.DUMMYFUNCTION("""COMPUTED_VALUE"""),"None")</f>
        <v>None</v>
      </c>
      <c r="M11" s="7"/>
      <c r="N11" s="7"/>
      <c r="O11" s="7"/>
    </row>
    <row r="12">
      <c r="A12" s="29">
        <f>IFERROR(__xludf.DUMMYFUNCTION("""COMPUTED_VALUE"""),8.0)</f>
        <v>8</v>
      </c>
      <c r="B12" s="7" t="str">
        <f>IFERROR(__xludf.DUMMYFUNCTION("""COMPUTED_VALUE"""),"vor 2 Tagen")</f>
        <v>vor 2 Tagen</v>
      </c>
      <c r="C12" s="7" t="str">
        <f>IFERROR(__xludf.DUMMYFUNCTION("""COMPUTED_VALUE"""),"Data Scientist (Intern)")</f>
        <v>Data Scientist (Intern)</v>
      </c>
      <c r="D12" s="7" t="str">
        <f>IFERROR(__xludf.DUMMYFUNCTION("""COMPUTED_VALUE"""),"Berlin")</f>
        <v>Berlin</v>
      </c>
      <c r="E12" s="7" t="str">
        <f>IFERROR(__xludf.DUMMYFUNCTION("""COMPUTED_VALUE"""),"Paintgun")</f>
        <v>Paintgun</v>
      </c>
      <c r="F12" s="7" t="str">
        <f>IFERROR(__xludf.DUMMYFUNCTION("""COMPUTED_VALUE"""),"None")</f>
        <v>None</v>
      </c>
      <c r="G12" s="7" t="str">
        <f>IFERROR(__xludf.DUMMYFUNCTION("""COMPUTED_VALUE"""),"No salary data")</f>
        <v>No salary data</v>
      </c>
      <c r="H12" s="7" t="str">
        <f>IFERROR(__xludf.DUMMYFUNCTION("""COMPUTED_VALUE"""),"No salary data")</f>
        <v>No salary data</v>
      </c>
      <c r="I12" s="7" t="str">
        <f>IFERROR(__xludf.DUMMYFUNCTION("""COMPUTED_VALUE"""),"No salary data")</f>
        <v>No salary data</v>
      </c>
      <c r="J12" s="7" t="str">
        <f>IFERROR(__xludf.DUMMYFUNCTION("""COMPUTED_VALUE"""),"Python, SQL, Machine Learning, Statistic")</f>
        <v>Python, SQL, Machine Learning, Statistic</v>
      </c>
      <c r="K12" s="7" t="str">
        <f>IFERROR(__xludf.DUMMYFUNCTION("""COMPUTED_VALUE"""),"No job type data")</f>
        <v>No job type data</v>
      </c>
      <c r="L12" s="7" t="str">
        <f>IFERROR(__xludf.DUMMYFUNCTION("""COMPUTED_VALUE"""),"None")</f>
        <v>None</v>
      </c>
      <c r="M12" s="7"/>
      <c r="N12" s="7"/>
      <c r="O12" s="7"/>
    </row>
    <row r="13">
      <c r="A13" s="29">
        <f>IFERROR(__xludf.DUMMYFUNCTION("""COMPUTED_VALUE"""),9.0)</f>
        <v>9</v>
      </c>
      <c r="B13" s="10" t="str">
        <f>IFERROR(__xludf.DUMMYFUNCTION("""COMPUTED_VALUE"""),"vor 1 Tag")</f>
        <v>vor 1 Tag</v>
      </c>
      <c r="C13" s="7" t="str">
        <f>IFERROR(__xludf.DUMMYFUNCTION("""COMPUTED_VALUE"""),"Founders Office - Data &amp; Insights")</f>
        <v>Founders Office - Data &amp; Insights</v>
      </c>
      <c r="D13" s="7" t="str">
        <f>IFERROR(__xludf.DUMMYFUNCTION("""COMPUTED_VALUE"""),"Berlin")</f>
        <v>Berlin</v>
      </c>
      <c r="E13" s="7" t="str">
        <f>IFERROR(__xludf.DUMMYFUNCTION("""COMPUTED_VALUE"""),"N26")</f>
        <v>N26</v>
      </c>
      <c r="F13" s="7" t="str">
        <f>IFERROR(__xludf.DUMMYFUNCTION("""COMPUTED_VALUE"""),"None")</f>
        <v>None</v>
      </c>
      <c r="G13" s="7" t="str">
        <f>IFERROR(__xludf.DUMMYFUNCTION("""COMPUTED_VALUE"""),"No salary data")</f>
        <v>No salary data</v>
      </c>
      <c r="H13" s="7" t="str">
        <f>IFERROR(__xludf.DUMMYFUNCTION("""COMPUTED_VALUE"""),"No salary data")</f>
        <v>No salary data</v>
      </c>
      <c r="I13" s="7" t="str">
        <f>IFERROR(__xludf.DUMMYFUNCTION("""COMPUTED_VALUE"""),"No salary data")</f>
        <v>No salary data</v>
      </c>
      <c r="J13" s="7" t="str">
        <f>IFERROR(__xludf.DUMMYFUNCTION("""COMPUTED_VALUE"""),"Python, SQL, Tableau, Git")</f>
        <v>Python, SQL, Tableau, Git</v>
      </c>
      <c r="K13" s="7" t="str">
        <f>IFERROR(__xludf.DUMMYFUNCTION("""COMPUTED_VALUE"""),"No job type data")</f>
        <v>No job type data</v>
      </c>
      <c r="L13" s="7" t="str">
        <f>IFERROR(__xludf.DUMMYFUNCTION("""COMPUTED_VALUE"""),"3,4")</f>
        <v>3,4</v>
      </c>
      <c r="M13" s="7"/>
      <c r="N13" s="7"/>
      <c r="O13" s="7"/>
    </row>
    <row r="14">
      <c r="A14" s="29">
        <f>IFERROR(__xludf.DUMMYFUNCTION("""COMPUTED_VALUE"""),10.0)</f>
        <v>10</v>
      </c>
      <c r="B14" s="7" t="str">
        <f>IFERROR(__xludf.DUMMYFUNCTION("""COMPUTED_VALUE"""),"vor 1 Tag")</f>
        <v>vor 1 Tag</v>
      </c>
      <c r="C14" s="7" t="str">
        <f>IFERROR(__xludf.DUMMYFUNCTION("""COMPUTED_VALUE"""),"Data Scientist (m|f|d) Membrane Technologies")</f>
        <v>Data Scientist (m|f|d) Membrane Technologies</v>
      </c>
      <c r="D14" s="7" t="str">
        <f>IFERROR(__xludf.DUMMYFUNCTION("""COMPUTED_VALUE"""),"Göttingen")</f>
        <v>Göttingen</v>
      </c>
      <c r="E14" s="7" t="str">
        <f>IFERROR(__xludf.DUMMYFUNCTION("""COMPUTED_VALUE"""),"Sartorius Stedim Biotech")</f>
        <v>Sartorius Stedim Biotech</v>
      </c>
      <c r="F14" s="7" t="str">
        <f>IFERROR(__xludf.DUMMYFUNCTION("""COMPUTED_VALUE"""),"None")</f>
        <v>None</v>
      </c>
      <c r="G14" s="7" t="str">
        <f>IFERROR(__xludf.DUMMYFUNCTION("""COMPUTED_VALUE"""),"No salary data")</f>
        <v>No salary data</v>
      </c>
      <c r="H14" s="7" t="str">
        <f>IFERROR(__xludf.DUMMYFUNCTION("""COMPUTED_VALUE"""),"No salary data")</f>
        <v>No salary data</v>
      </c>
      <c r="I14" s="7" t="str">
        <f>IFERROR(__xludf.DUMMYFUNCTION("""COMPUTED_VALUE"""),"No salary data")</f>
        <v>No salary data</v>
      </c>
      <c r="J14" s="7" t="str">
        <f>IFERROR(__xludf.DUMMYFUNCTION("""COMPUTED_VALUE"""),"Python, SQL, Excel, Machine Learning, Agile")</f>
        <v>Python, SQL, Excel, Machine Learning, Agile</v>
      </c>
      <c r="K14" s="7" t="str">
        <f>IFERROR(__xludf.DUMMYFUNCTION("""COMPUTED_VALUE"""),"No job type data")</f>
        <v>No job type data</v>
      </c>
      <c r="L14" s="7" t="str">
        <f>IFERROR(__xludf.DUMMYFUNCTION("""COMPUTED_VALUE"""),"3,7")</f>
        <v>3,7</v>
      </c>
      <c r="M14" s="7"/>
      <c r="N14" s="7"/>
      <c r="O14" s="7"/>
    </row>
    <row r="15">
      <c r="A15" s="29">
        <f>IFERROR(__xludf.DUMMYFUNCTION("""COMPUTED_VALUE"""),11.0)</f>
        <v>11</v>
      </c>
      <c r="B15" s="7" t="str">
        <f>IFERROR(__xludf.DUMMYFUNCTION("""COMPUTED_VALUE"""),"Heute")</f>
        <v>Heute</v>
      </c>
      <c r="C15" s="7" t="str">
        <f>IFERROR(__xludf.DUMMYFUNCTION("""COMPUTED_VALUE"""),"Data Analyst (m/f/d)")</f>
        <v>Data Analyst (m/f/d)</v>
      </c>
      <c r="D15" s="7" t="str">
        <f>IFERROR(__xludf.DUMMYFUNCTION("""COMPUTED_VALUE"""),"München")</f>
        <v>München</v>
      </c>
      <c r="E15" s="7" t="str">
        <f>IFERROR(__xludf.DUMMYFUNCTION("""COMPUTED_VALUE"""),"Creakom GmbH für kreative Kommunikation &amp; Business...")</f>
        <v>Creakom GmbH für kreative Kommunikation &amp; Business...</v>
      </c>
      <c r="F15" s="7" t="str">
        <f>IFERROR(__xludf.DUMMYFUNCTION("""COMPUTED_VALUE"""),"None")</f>
        <v>None</v>
      </c>
      <c r="G15" s="7" t="str">
        <f>IFERROR(__xludf.DUMMYFUNCTION("""COMPUTED_VALUE"""),"No salary data")</f>
        <v>No salary data</v>
      </c>
      <c r="H15" s="7" t="str">
        <f>IFERROR(__xludf.DUMMYFUNCTION("""COMPUTED_VALUE"""),"No salary data")</f>
        <v>No salary data</v>
      </c>
      <c r="I15" s="7" t="str">
        <f>IFERROR(__xludf.DUMMYFUNCTION("""COMPUTED_VALUE"""),"No salary data")</f>
        <v>No salary data</v>
      </c>
      <c r="J15" s="7" t="str">
        <f>IFERROR(__xludf.DUMMYFUNCTION("""COMPUTED_VALUE"""),"Python, SQL, Tableau, Excel, Machine Learning, Statistic, Git")</f>
        <v>Python, SQL, Tableau, Excel, Machine Learning, Statistic, Git</v>
      </c>
      <c r="K15" s="7" t="str">
        <f>IFERROR(__xludf.DUMMYFUNCTION("""COMPUTED_VALUE"""),"Full-Time")</f>
        <v>Full-Time</v>
      </c>
      <c r="L15" s="7" t="str">
        <f>IFERROR(__xludf.DUMMYFUNCTION("""COMPUTED_VALUE"""),"None")</f>
        <v>None</v>
      </c>
      <c r="M15" s="7"/>
      <c r="N15" s="7"/>
      <c r="O15" s="7"/>
    </row>
    <row r="16">
      <c r="A16" s="29">
        <f>IFERROR(__xludf.DUMMYFUNCTION("""COMPUTED_VALUE"""),12.0)</f>
        <v>12</v>
      </c>
      <c r="B16" s="7" t="str">
        <f>IFERROR(__xludf.DUMMYFUNCTION("""COMPUTED_VALUE"""),"Vor mehr als 30 Tagen")</f>
        <v>Vor mehr als 30 Tagen</v>
      </c>
      <c r="C16" s="7" t="str">
        <f>IFERROR(__xludf.DUMMYFUNCTION("""COMPUTED_VALUE"""),"Data Scientist (m/w/d)")</f>
        <v>Data Scientist (m/w/d)</v>
      </c>
      <c r="D16" s="7" t="str">
        <f>IFERROR(__xludf.DUMMYFUNCTION("""COMPUTED_VALUE"""),"Konstanz")</f>
        <v>Konstanz</v>
      </c>
      <c r="E16" s="7" t="str">
        <f>IFERROR(__xludf.DUMMYFUNCTION("""COMPUTED_VALUE"""),"SÜDKURIER GmbH Medienhaus")</f>
        <v>SÜDKURIER GmbH Medienhaus</v>
      </c>
      <c r="F16" s="7" t="str">
        <f>IFERROR(__xludf.DUMMYFUNCTION("""COMPUTED_VALUE"""),"None")</f>
        <v>None</v>
      </c>
      <c r="G16" s="7" t="str">
        <f>IFERROR(__xludf.DUMMYFUNCTION("""COMPUTED_VALUE"""),"No salary data")</f>
        <v>No salary data</v>
      </c>
      <c r="H16" s="7" t="str">
        <f>IFERROR(__xludf.DUMMYFUNCTION("""COMPUTED_VALUE"""),"No salary data")</f>
        <v>No salary data</v>
      </c>
      <c r="I16" s="7" t="str">
        <f>IFERROR(__xludf.DUMMYFUNCTION("""COMPUTED_VALUE"""),"No salary data")</f>
        <v>No salary data</v>
      </c>
      <c r="J16" s="7" t="str">
        <f>IFERROR(__xludf.DUMMYFUNCTION("""COMPUTED_VALUE"""),"Machine Learning, Git, Agile")</f>
        <v>Machine Learning, Git, Agile</v>
      </c>
      <c r="K16" s="7" t="str">
        <f>IFERROR(__xludf.DUMMYFUNCTION("""COMPUTED_VALUE"""),"No job type data")</f>
        <v>No job type data</v>
      </c>
      <c r="L16" s="7" t="str">
        <f>IFERROR(__xludf.DUMMYFUNCTION("""COMPUTED_VALUE"""),"None")</f>
        <v>None</v>
      </c>
      <c r="M16" s="7"/>
      <c r="N16" s="7"/>
      <c r="O16" s="7"/>
    </row>
    <row r="17">
      <c r="A17" s="29">
        <f>IFERROR(__xludf.DUMMYFUNCTION("""COMPUTED_VALUE"""),13.0)</f>
        <v>13</v>
      </c>
      <c r="B17" s="7" t="str">
        <f>IFERROR(__xludf.DUMMYFUNCTION("""COMPUTED_VALUE"""),"Vor mehr als 30 Tagen")</f>
        <v>Vor mehr als 30 Tagen</v>
      </c>
      <c r="C17" s="7" t="str">
        <f>IFERROR(__xludf.DUMMYFUNCTION("""COMPUTED_VALUE"""),"Data Analyst (various roles and levels)")</f>
        <v>Data Analyst (various roles and levels)</v>
      </c>
      <c r="D17" s="7" t="str">
        <f>IFERROR(__xludf.DUMMYFUNCTION("""COMPUTED_VALUE"""),"Berlin")</f>
        <v>Berlin</v>
      </c>
      <c r="E17" s="7" t="str">
        <f>IFERROR(__xludf.DUMMYFUNCTION("""COMPUTED_VALUE"""),"Klarna")</f>
        <v>Klarna</v>
      </c>
      <c r="F17" s="7" t="str">
        <f>IFERROR(__xludf.DUMMYFUNCTION("""COMPUTED_VALUE"""),"None")</f>
        <v>None</v>
      </c>
      <c r="G17" s="7" t="str">
        <f>IFERROR(__xludf.DUMMYFUNCTION("""COMPUTED_VALUE"""),"No salary data")</f>
        <v>No salary data</v>
      </c>
      <c r="H17" s="7" t="str">
        <f>IFERROR(__xludf.DUMMYFUNCTION("""COMPUTED_VALUE"""),"No salary data")</f>
        <v>No salary data</v>
      </c>
      <c r="I17" s="7" t="str">
        <f>IFERROR(__xludf.DUMMYFUNCTION("""COMPUTED_VALUE"""),"No salary data")</f>
        <v>No salary data</v>
      </c>
      <c r="J17" s="7" t="str">
        <f>IFERROR(__xludf.DUMMYFUNCTION("""COMPUTED_VALUE"""),"Python, SQL")</f>
        <v>Python, SQL</v>
      </c>
      <c r="K17" s="7" t="str">
        <f>IFERROR(__xludf.DUMMYFUNCTION("""COMPUTED_VALUE"""),"No job type data")</f>
        <v>No job type data</v>
      </c>
      <c r="L17" s="7" t="str">
        <f>IFERROR(__xludf.DUMMYFUNCTION("""COMPUTED_VALUE"""),"None")</f>
        <v>None</v>
      </c>
      <c r="M17" s="7"/>
      <c r="N17" s="7"/>
      <c r="O17" s="7"/>
    </row>
    <row r="18">
      <c r="A18" s="29">
        <f>IFERROR(__xludf.DUMMYFUNCTION("""COMPUTED_VALUE"""),14.0)</f>
        <v>14</v>
      </c>
      <c r="B18" s="7" t="str">
        <f>IFERROR(__xludf.DUMMYFUNCTION("""COMPUTED_VALUE"""),"Vor mehr als 30 Tagen")</f>
        <v>Vor mehr als 30 Tagen</v>
      </c>
      <c r="C18" s="7" t="str">
        <f>IFERROR(__xludf.DUMMYFUNCTION("""COMPUTED_VALUE"""),"Data Science")</f>
        <v>Data Science</v>
      </c>
      <c r="D18" s="7" t="str">
        <f>IFERROR(__xludf.DUMMYFUNCTION("""COMPUTED_VALUE"""),"Hamburg")</f>
        <v>Hamburg</v>
      </c>
      <c r="E18" s="7" t="str">
        <f>IFERROR(__xludf.DUMMYFUNCTION("""COMPUTED_VALUE"""),"sovanta")</f>
        <v>sovanta</v>
      </c>
      <c r="F18" s="7" t="str">
        <f>IFERROR(__xludf.DUMMYFUNCTION("""COMPUTED_VALUE"""),"None")</f>
        <v>None</v>
      </c>
      <c r="G18" s="7" t="str">
        <f>IFERROR(__xludf.DUMMYFUNCTION("""COMPUTED_VALUE"""),"No salary data")</f>
        <v>No salary data</v>
      </c>
      <c r="H18" s="7" t="str">
        <f>IFERROR(__xludf.DUMMYFUNCTION("""COMPUTED_VALUE"""),"No salary data")</f>
        <v>No salary data</v>
      </c>
      <c r="I18" s="7" t="str">
        <f>IFERROR(__xludf.DUMMYFUNCTION("""COMPUTED_VALUE"""),"No salary data")</f>
        <v>No salary data</v>
      </c>
      <c r="J18" s="7" t="str">
        <f>IFERROR(__xludf.DUMMYFUNCTION("""COMPUTED_VALUE"""),"Python, Tableau, Git, Agile")</f>
        <v>Python, Tableau, Git, Agile</v>
      </c>
      <c r="K18" s="7" t="str">
        <f>IFERROR(__xludf.DUMMYFUNCTION("""COMPUTED_VALUE"""),"No job type data")</f>
        <v>No job type data</v>
      </c>
      <c r="L18" s="7" t="str">
        <f>IFERROR(__xludf.DUMMYFUNCTION("""COMPUTED_VALUE"""),"None")</f>
        <v>None</v>
      </c>
      <c r="M18" s="7"/>
      <c r="N18" s="7"/>
      <c r="O18" s="7"/>
    </row>
    <row r="19">
      <c r="A19" s="29">
        <f>IFERROR(__xludf.DUMMYFUNCTION("""COMPUTED_VALUE"""),15.0)</f>
        <v>15</v>
      </c>
      <c r="B19" s="7" t="str">
        <f>IFERROR(__xludf.DUMMYFUNCTION("""COMPUTED_VALUE"""),"Vor mehr als 30 Tagen")</f>
        <v>Vor mehr als 30 Tagen</v>
      </c>
      <c r="C19" s="7" t="str">
        <f>IFERROR(__xludf.DUMMYFUNCTION("""COMPUTED_VALUE"""),"Data Engineer - All Levels")</f>
        <v>Data Engineer - All Levels</v>
      </c>
      <c r="D19" s="7" t="str">
        <f>IFERROR(__xludf.DUMMYFUNCTION("""COMPUTED_VALUE"""),"Berlin")</f>
        <v>Berlin</v>
      </c>
      <c r="E19" s="7" t="str">
        <f>IFERROR(__xludf.DUMMYFUNCTION("""COMPUTED_VALUE"""),"Pandata")</f>
        <v>Pandata</v>
      </c>
      <c r="F19" s="7" t="str">
        <f>IFERROR(__xludf.DUMMYFUNCTION("""COMPUTED_VALUE"""),"None")</f>
        <v>None</v>
      </c>
      <c r="G19" s="7" t="str">
        <f>IFERROR(__xludf.DUMMYFUNCTION("""COMPUTED_VALUE"""),"No salary data")</f>
        <v>No salary data</v>
      </c>
      <c r="H19" s="7" t="str">
        <f>IFERROR(__xludf.DUMMYFUNCTION("""COMPUTED_VALUE"""),"No salary data")</f>
        <v>No salary data</v>
      </c>
      <c r="I19" s="7" t="str">
        <f>IFERROR(__xludf.DUMMYFUNCTION("""COMPUTED_VALUE"""),"No salary data")</f>
        <v>No salary data</v>
      </c>
      <c r="J19" s="7" t="str">
        <f>IFERROR(__xludf.DUMMYFUNCTION("""COMPUTED_VALUE"""),"Python, SQL, Git")</f>
        <v>Python, SQL, Git</v>
      </c>
      <c r="K19" s="7" t="str">
        <f>IFERROR(__xludf.DUMMYFUNCTION("""COMPUTED_VALUE"""),"No job type data")</f>
        <v>No job type data</v>
      </c>
      <c r="L19" s="7" t="str">
        <f>IFERROR(__xludf.DUMMYFUNCTION("""COMPUTED_VALUE"""),"None")</f>
        <v>None</v>
      </c>
      <c r="M19" s="7"/>
      <c r="N19" s="7"/>
      <c r="O19" s="7"/>
    </row>
    <row r="20">
      <c r="A20" s="29">
        <f>IFERROR(__xludf.DUMMYFUNCTION("""COMPUTED_VALUE"""),16.0)</f>
        <v>16</v>
      </c>
      <c r="B20" s="7" t="str">
        <f>IFERROR(__xludf.DUMMYFUNCTION("""COMPUTED_VALUE"""),"Heute")</f>
        <v>Heute</v>
      </c>
      <c r="C20" s="7" t="str">
        <f>IFERROR(__xludf.DUMMYFUNCTION("""COMPUTED_VALUE"""),"Data Science Internship (m/f/d) in Global Data Analytics")</f>
        <v>Data Science Internship (m/f/d) in Global Data Analytics</v>
      </c>
      <c r="D20" s="7" t="str">
        <f>IFERROR(__xludf.DUMMYFUNCTION("""COMPUTED_VALUE"""),"München")</f>
        <v>München</v>
      </c>
      <c r="E20" s="7" t="str">
        <f>IFERROR(__xludf.DUMMYFUNCTION("""COMPUTED_VALUE"""),"Allianz SE (global headquarters)")</f>
        <v>Allianz SE (global headquarters)</v>
      </c>
      <c r="F20" s="7" t="str">
        <f>IFERROR(__xludf.DUMMYFUNCTION("""COMPUTED_VALUE"""),"None")</f>
        <v>None</v>
      </c>
      <c r="G20" s="7" t="str">
        <f>IFERROR(__xludf.DUMMYFUNCTION("""COMPUTED_VALUE"""),"No salary data")</f>
        <v>No salary data</v>
      </c>
      <c r="H20" s="7" t="str">
        <f>IFERROR(__xludf.DUMMYFUNCTION("""COMPUTED_VALUE"""),"No salary data")</f>
        <v>No salary data</v>
      </c>
      <c r="I20" s="7" t="str">
        <f>IFERROR(__xludf.DUMMYFUNCTION("""COMPUTED_VALUE"""),"No salary data")</f>
        <v>No salary data</v>
      </c>
      <c r="J20" s="7" t="str">
        <f>IFERROR(__xludf.DUMMYFUNCTION("""COMPUTED_VALUE"""),"Python, Machine Learning")</f>
        <v>Python, Machine Learning</v>
      </c>
      <c r="K20" s="7" t="str">
        <f>IFERROR(__xludf.DUMMYFUNCTION("""COMPUTED_VALUE"""),"Internship")</f>
        <v>Internship</v>
      </c>
      <c r="L20" s="7" t="str">
        <f>IFERROR(__xludf.DUMMYFUNCTION("""COMPUTED_VALUE"""),"3,9")</f>
        <v>3,9</v>
      </c>
      <c r="M20" s="7"/>
      <c r="N20" s="7"/>
      <c r="O20" s="7"/>
    </row>
    <row r="21">
      <c r="A21" s="29">
        <f>IFERROR(__xludf.DUMMYFUNCTION("""COMPUTED_VALUE"""),17.0)</f>
        <v>17</v>
      </c>
      <c r="B21" s="7" t="str">
        <f>IFERROR(__xludf.DUMMYFUNCTION("""COMPUTED_VALUE"""),"vor 3 Tagen")</f>
        <v>vor 3 Tagen</v>
      </c>
      <c r="C21" s="7" t="str">
        <f>IFERROR(__xludf.DUMMYFUNCTION("""COMPUTED_VALUE"""),"Intern / Working Student Data Engineering*")</f>
        <v>Intern / Working Student Data Engineering*</v>
      </c>
      <c r="D21" s="7" t="str">
        <f>IFERROR(__xludf.DUMMYFUNCTION("""COMPUTED_VALUE"""),"München")</f>
        <v>München</v>
      </c>
      <c r="E21" s="7" t="str">
        <f>IFERROR(__xludf.DUMMYFUNCTION("""COMPUTED_VALUE"""),"FELD M")</f>
        <v>FELD M</v>
      </c>
      <c r="F21" s="7" t="str">
        <f>IFERROR(__xludf.DUMMYFUNCTION("""COMPUTED_VALUE"""),"None")</f>
        <v>None</v>
      </c>
      <c r="G21" s="7" t="str">
        <f>IFERROR(__xludf.DUMMYFUNCTION("""COMPUTED_VALUE"""),"No salary data")</f>
        <v>No salary data</v>
      </c>
      <c r="H21" s="7" t="str">
        <f>IFERROR(__xludf.DUMMYFUNCTION("""COMPUTED_VALUE"""),"No salary data")</f>
        <v>No salary data</v>
      </c>
      <c r="I21" s="7" t="str">
        <f>IFERROR(__xludf.DUMMYFUNCTION("""COMPUTED_VALUE"""),"No salary data")</f>
        <v>No salary data</v>
      </c>
      <c r="J21" s="7" t="str">
        <f>IFERROR(__xludf.DUMMYFUNCTION("""COMPUTED_VALUE"""),"Python, SQL, Agile")</f>
        <v>Python, SQL, Agile</v>
      </c>
      <c r="K21" s="7" t="str">
        <f>IFERROR(__xludf.DUMMYFUNCTION("""COMPUTED_VALUE"""),"Internship")</f>
        <v>Internship</v>
      </c>
      <c r="L21" s="7" t="str">
        <f>IFERROR(__xludf.DUMMYFUNCTION("""COMPUTED_VALUE"""),"None")</f>
        <v>None</v>
      </c>
      <c r="M21" s="7"/>
      <c r="N21" s="7"/>
      <c r="O21" s="7"/>
    </row>
    <row r="22">
      <c r="A22" s="29">
        <f>IFERROR(__xludf.DUMMYFUNCTION("""COMPUTED_VALUE"""),18.0)</f>
        <v>18</v>
      </c>
      <c r="B22" s="7" t="str">
        <f>IFERROR(__xludf.DUMMYFUNCTION("""COMPUTED_VALUE"""),"Heute")</f>
        <v>Heute</v>
      </c>
      <c r="C22" s="7" t="str">
        <f>IFERROR(__xludf.DUMMYFUNCTION("""COMPUTED_VALUE"""),"Data Scientist (w/m/d)")</f>
        <v>Data Scientist (w/m/d)</v>
      </c>
      <c r="D22" s="7" t="str">
        <f>IFERROR(__xludf.DUMMYFUNCTION("""COMPUTED_VALUE"""),"Hamburg")</f>
        <v>Hamburg</v>
      </c>
      <c r="E22" s="7" t="str">
        <f>IFERROR(__xludf.DUMMYFUNCTION("""COMPUTED_VALUE"""),"Otto (GmbH &amp; Co KG)")</f>
        <v>Otto (GmbH &amp; Co KG)</v>
      </c>
      <c r="F22" s="7" t="str">
        <f>IFERROR(__xludf.DUMMYFUNCTION("""COMPUTED_VALUE"""),"None")</f>
        <v>None</v>
      </c>
      <c r="G22" s="7" t="str">
        <f>IFERROR(__xludf.DUMMYFUNCTION("""COMPUTED_VALUE"""),"No salary data")</f>
        <v>No salary data</v>
      </c>
      <c r="H22" s="7" t="str">
        <f>IFERROR(__xludf.DUMMYFUNCTION("""COMPUTED_VALUE"""),"No salary data")</f>
        <v>No salary data</v>
      </c>
      <c r="I22" s="7" t="str">
        <f>IFERROR(__xludf.DUMMYFUNCTION("""COMPUTED_VALUE"""),"No salary data")</f>
        <v>No salary data</v>
      </c>
      <c r="J22" s="7" t="str">
        <f>IFERROR(__xludf.DUMMYFUNCTION("""COMPUTED_VALUE"""),"Python, SQL, Tableau, Machine Learning, Linux, Agile, Scrum, Kanban")</f>
        <v>Python, SQL, Tableau, Machine Learning, Linux, Agile, Scrum, Kanban</v>
      </c>
      <c r="K22" s="7" t="str">
        <f>IFERROR(__xludf.DUMMYFUNCTION("""COMPUTED_VALUE"""),"No job type data")</f>
        <v>No job type data</v>
      </c>
      <c r="L22" s="7" t="str">
        <f>IFERROR(__xludf.DUMMYFUNCTION("""COMPUTED_VALUE"""),"3,5")</f>
        <v>3,5</v>
      </c>
      <c r="M22" s="7"/>
      <c r="N22" s="7"/>
      <c r="O22" s="7"/>
    </row>
    <row r="23">
      <c r="A23" s="29">
        <f>IFERROR(__xludf.DUMMYFUNCTION("""COMPUTED_VALUE"""),19.0)</f>
        <v>19</v>
      </c>
      <c r="B23" s="7" t="str">
        <f>IFERROR(__xludf.DUMMYFUNCTION("""COMPUTED_VALUE"""),"vor 4 Tagen")</f>
        <v>vor 4 Tagen</v>
      </c>
      <c r="C23" s="7" t="str">
        <f>IFERROR(__xludf.DUMMYFUNCTION("""COMPUTED_VALUE"""),"International Data Analyst (m|f|x)")</f>
        <v>International Data Analyst (m|f|x)</v>
      </c>
      <c r="D23" s="7" t="str">
        <f>IFERROR(__xludf.DUMMYFUNCTION("""COMPUTED_VALUE"""),"Berlin")</f>
        <v>Berlin</v>
      </c>
      <c r="E23" s="7" t="str">
        <f>IFERROR(__xludf.DUMMYFUNCTION("""COMPUTED_VALUE"""),"idealo internet GmbH")</f>
        <v>idealo internet GmbH</v>
      </c>
      <c r="F23" s="7" t="str">
        <f>IFERROR(__xludf.DUMMYFUNCTION("""COMPUTED_VALUE"""),"None")</f>
        <v>None</v>
      </c>
      <c r="G23" s="7" t="str">
        <f>IFERROR(__xludf.DUMMYFUNCTION("""COMPUTED_VALUE"""),"No salary data")</f>
        <v>No salary data</v>
      </c>
      <c r="H23" s="7" t="str">
        <f>IFERROR(__xludf.DUMMYFUNCTION("""COMPUTED_VALUE"""),"No salary data")</f>
        <v>No salary data</v>
      </c>
      <c r="I23" s="7" t="str">
        <f>IFERROR(__xludf.DUMMYFUNCTION("""COMPUTED_VALUE"""),"No salary data")</f>
        <v>No salary data</v>
      </c>
      <c r="J23" s="7" t="str">
        <f>IFERROR(__xludf.DUMMYFUNCTION("""COMPUTED_VALUE"""),"Python, SQL, Tableau, Excel, Statistic, Agile")</f>
        <v>Python, SQL, Tableau, Excel, Statistic, Agile</v>
      </c>
      <c r="K23" s="7" t="str">
        <f>IFERROR(__xludf.DUMMYFUNCTION("""COMPUTED_VALUE"""),"Full-Time")</f>
        <v>Full-Time</v>
      </c>
      <c r="L23" s="7" t="str">
        <f>IFERROR(__xludf.DUMMYFUNCTION("""COMPUTED_VALUE"""),"4,3")</f>
        <v>4,3</v>
      </c>
      <c r="M23" s="7"/>
      <c r="N23" s="7"/>
      <c r="O23" s="7"/>
    </row>
    <row r="24">
      <c r="A24" s="29">
        <f>IFERROR(__xludf.DUMMYFUNCTION("""COMPUTED_VALUE"""),20.0)</f>
        <v>20</v>
      </c>
      <c r="B24" s="7" t="str">
        <f>IFERROR(__xludf.DUMMYFUNCTION("""COMPUTED_VALUE"""),"Heute")</f>
        <v>Heute</v>
      </c>
      <c r="C24" s="7" t="str">
        <f>IFERROR(__xludf.DUMMYFUNCTION("""COMPUTED_VALUE"""),"Junior Data Analyst - HelloFreshGO (m/f/x)")</f>
        <v>Junior Data Analyst - HelloFreshGO (m/f/x)</v>
      </c>
      <c r="D24" s="7" t="str">
        <f>IFERROR(__xludf.DUMMYFUNCTION("""COMPUTED_VALUE"""),"Berlin")</f>
        <v>Berlin</v>
      </c>
      <c r="E24" s="7" t="str">
        <f>IFERROR(__xludf.DUMMYFUNCTION("""COMPUTED_VALUE"""),"HelloFresh")</f>
        <v>HelloFresh</v>
      </c>
      <c r="F24" s="7" t="str">
        <f>IFERROR(__xludf.DUMMYFUNCTION("""COMPUTED_VALUE"""),"None")</f>
        <v>None</v>
      </c>
      <c r="G24" s="7" t="str">
        <f>IFERROR(__xludf.DUMMYFUNCTION("""COMPUTED_VALUE"""),"No salary data")</f>
        <v>No salary data</v>
      </c>
      <c r="H24" s="7" t="str">
        <f>IFERROR(__xludf.DUMMYFUNCTION("""COMPUTED_VALUE"""),"No salary data")</f>
        <v>No salary data</v>
      </c>
      <c r="I24" s="7" t="str">
        <f>IFERROR(__xludf.DUMMYFUNCTION("""COMPUTED_VALUE"""),"No salary data")</f>
        <v>No salary data</v>
      </c>
      <c r="J24" s="7" t="str">
        <f>IFERROR(__xludf.DUMMYFUNCTION("""COMPUTED_VALUE"""),"Python, SQL, Tableau, Excel, Statistic")</f>
        <v>Python, SQL, Tableau, Excel, Statistic</v>
      </c>
      <c r="K24" s="7" t="str">
        <f>IFERROR(__xludf.DUMMYFUNCTION("""COMPUTED_VALUE"""),"No job type data")</f>
        <v>No job type data</v>
      </c>
      <c r="L24" s="7" t="str">
        <f>IFERROR(__xludf.DUMMYFUNCTION("""COMPUTED_VALUE"""),"3,2")</f>
        <v>3,2</v>
      </c>
      <c r="M24" s="7"/>
      <c r="N24" s="7"/>
      <c r="O24" s="7"/>
    </row>
    <row r="25">
      <c r="A25" s="29">
        <f>IFERROR(__xludf.DUMMYFUNCTION("""COMPUTED_VALUE"""),21.0)</f>
        <v>21</v>
      </c>
      <c r="B25" s="7" t="str">
        <f>IFERROR(__xludf.DUMMYFUNCTION("""COMPUTED_VALUE"""),"vor 14 Tagen")</f>
        <v>vor 14 Tagen</v>
      </c>
      <c r="C25" s="7" t="str">
        <f>IFERROR(__xludf.DUMMYFUNCTION("""COMPUTED_VALUE"""),"Masterand Data Science (m/w/d)")</f>
        <v>Masterand Data Science (m/w/d)</v>
      </c>
      <c r="D25" s="7" t="str">
        <f>IFERROR(__xludf.DUMMYFUNCTION("""COMPUTED_VALUE"""),"Deutschland")</f>
        <v>Deutschland</v>
      </c>
      <c r="E25" s="7" t="str">
        <f>IFERROR(__xludf.DUMMYFUNCTION("""COMPUTED_VALUE"""),"Endress+Hauser")</f>
        <v>Endress+Hauser</v>
      </c>
      <c r="F25" s="7" t="str">
        <f>IFERROR(__xludf.DUMMYFUNCTION("""COMPUTED_VALUE"""),"None")</f>
        <v>None</v>
      </c>
      <c r="G25" s="7" t="str">
        <f>IFERROR(__xludf.DUMMYFUNCTION("""COMPUTED_VALUE"""),"No salary data")</f>
        <v>No salary data</v>
      </c>
      <c r="H25" s="7" t="str">
        <f>IFERROR(__xludf.DUMMYFUNCTION("""COMPUTED_VALUE"""),"No salary data")</f>
        <v>No salary data</v>
      </c>
      <c r="I25" s="7" t="str">
        <f>IFERROR(__xludf.DUMMYFUNCTION("""COMPUTED_VALUE"""),"No salary data")</f>
        <v>No salary data</v>
      </c>
      <c r="J25" s="7" t="str">
        <f>IFERROR(__xludf.DUMMYFUNCTION("""COMPUTED_VALUE"""),"Python")</f>
        <v>Python</v>
      </c>
      <c r="K25" s="7" t="str">
        <f>IFERROR(__xludf.DUMMYFUNCTION("""COMPUTED_VALUE"""),"No job type data")</f>
        <v>No job type data</v>
      </c>
      <c r="L25" s="7" t="str">
        <f>IFERROR(__xludf.DUMMYFUNCTION("""COMPUTED_VALUE"""),"3,9")</f>
        <v>3,9</v>
      </c>
      <c r="M25" s="7"/>
      <c r="N25" s="7"/>
      <c r="O25" s="7"/>
    </row>
    <row r="26">
      <c r="A26" s="29">
        <f>IFERROR(__xludf.DUMMYFUNCTION("""COMPUTED_VALUE"""),22.0)</f>
        <v>22</v>
      </c>
      <c r="B26" s="7" t="str">
        <f>IFERROR(__xludf.DUMMYFUNCTION("""COMPUTED_VALUE"""),"vor 12 Tagen")</f>
        <v>vor 12 Tagen</v>
      </c>
      <c r="C26" s="7" t="str">
        <f>IFERROR(__xludf.DUMMYFUNCTION("""COMPUTED_VALUE"""),"Research Analyst")</f>
        <v>Research Analyst</v>
      </c>
      <c r="D26" s="7" t="str">
        <f>IFERROR(__xludf.DUMMYFUNCTION("""COMPUTED_VALUE"""),"Frankfurt am Main")</f>
        <v>Frankfurt am Main</v>
      </c>
      <c r="E26" s="7" t="str">
        <f>IFERROR(__xludf.DUMMYFUNCTION("""COMPUTED_VALUE"""),"The European Central Bank")</f>
        <v>The European Central Bank</v>
      </c>
      <c r="F26" s="7" t="str">
        <f>IFERROR(__xludf.DUMMYFUNCTION("""COMPUTED_VALUE"""),"None")</f>
        <v>None</v>
      </c>
      <c r="G26" s="7" t="str">
        <f>IFERROR(__xludf.DUMMYFUNCTION("""COMPUTED_VALUE"""),"No salary data")</f>
        <v>No salary data</v>
      </c>
      <c r="H26" s="7" t="str">
        <f>IFERROR(__xludf.DUMMYFUNCTION("""COMPUTED_VALUE"""),"No salary data")</f>
        <v>No salary data</v>
      </c>
      <c r="I26" s="7" t="str">
        <f>IFERROR(__xludf.DUMMYFUNCTION("""COMPUTED_VALUE"""),"No salary data")</f>
        <v>No salary data</v>
      </c>
      <c r="J26" s="7" t="str">
        <f>IFERROR(__xludf.DUMMYFUNCTION("""COMPUTED_VALUE"""),"Python, Tableau, Excel, Statistic")</f>
        <v>Python, Tableau, Excel, Statistic</v>
      </c>
      <c r="K26" s="7" t="str">
        <f>IFERROR(__xludf.DUMMYFUNCTION("""COMPUTED_VALUE"""),"No job type data")</f>
        <v>No job type data</v>
      </c>
      <c r="L26" s="7" t="str">
        <f>IFERROR(__xludf.DUMMYFUNCTION("""COMPUTED_VALUE"""),"None")</f>
        <v>None</v>
      </c>
      <c r="M26" s="7"/>
      <c r="N26" s="7"/>
      <c r="O26" s="7"/>
    </row>
    <row r="27">
      <c r="A27" s="29">
        <f>IFERROR(__xludf.DUMMYFUNCTION("""COMPUTED_VALUE"""),23.0)</f>
        <v>23</v>
      </c>
      <c r="B27" s="7" t="str">
        <f>IFERROR(__xludf.DUMMYFUNCTION("""COMPUTED_VALUE"""),"vor 3 Tagen")</f>
        <v>vor 3 Tagen</v>
      </c>
      <c r="C27" s="7" t="str">
        <f>IFERROR(__xludf.DUMMYFUNCTION("""COMPUTED_VALUE"""),"Data Scientist (m/f/x)")</f>
        <v>Data Scientist (m/f/x)</v>
      </c>
      <c r="D27" s="7" t="str">
        <f>IFERROR(__xludf.DUMMYFUNCTION("""COMPUTED_VALUE"""),"Karlsruhe")</f>
        <v>Karlsruhe</v>
      </c>
      <c r="E27" s="7" t="str">
        <f>IFERROR(__xludf.DUMMYFUNCTION("""COMPUTED_VALUE"""),"solexas GmbH")</f>
        <v>solexas GmbH</v>
      </c>
      <c r="F27" s="7" t="str">
        <f>IFERROR(__xludf.DUMMYFUNCTION("""COMPUTED_VALUE"""),"None")</f>
        <v>None</v>
      </c>
      <c r="G27" s="7" t="str">
        <f>IFERROR(__xludf.DUMMYFUNCTION("""COMPUTED_VALUE"""),"No salary data")</f>
        <v>No salary data</v>
      </c>
      <c r="H27" s="7" t="str">
        <f>IFERROR(__xludf.DUMMYFUNCTION("""COMPUTED_VALUE"""),"No salary data")</f>
        <v>No salary data</v>
      </c>
      <c r="I27" s="7" t="str">
        <f>IFERROR(__xludf.DUMMYFUNCTION("""COMPUTED_VALUE"""),"No salary data")</f>
        <v>No salary data</v>
      </c>
      <c r="J27" s="7" t="str">
        <f>IFERROR(__xludf.DUMMYFUNCTION("""COMPUTED_VALUE"""),"Python, SQL, Machine Learning, Statistic, Agile")</f>
        <v>Python, SQL, Machine Learning, Statistic, Agile</v>
      </c>
      <c r="K27" s="7" t="str">
        <f>IFERROR(__xludf.DUMMYFUNCTION("""COMPUTED_VALUE"""),"No job type data")</f>
        <v>No job type data</v>
      </c>
      <c r="L27" s="7" t="str">
        <f>IFERROR(__xludf.DUMMYFUNCTION("""COMPUTED_VALUE"""),"None")</f>
        <v>None</v>
      </c>
      <c r="M27" s="7"/>
      <c r="N27" s="7"/>
      <c r="O27" s="7"/>
    </row>
    <row r="28">
      <c r="A28" s="29">
        <f>IFERROR(__xludf.DUMMYFUNCTION("""COMPUTED_VALUE"""),24.0)</f>
        <v>24</v>
      </c>
      <c r="B28" s="7" t="str">
        <f>IFERROR(__xludf.DUMMYFUNCTION("""COMPUTED_VALUE"""),"vor 14 Tagen")</f>
        <v>vor 14 Tagen</v>
      </c>
      <c r="C28" s="7" t="str">
        <f>IFERROR(__xludf.DUMMYFUNCTION("""COMPUTED_VALUE"""),"TUM IDP Project - Data Science for a Fintech (f/m/d)")</f>
        <v>TUM IDP Project - Data Science for a Fintech (f/m/d)</v>
      </c>
      <c r="D28" s="7" t="str">
        <f>IFERROR(__xludf.DUMMYFUNCTION("""COMPUTED_VALUE"""),"München")</f>
        <v>München</v>
      </c>
      <c r="E28" s="7" t="str">
        <f>IFERROR(__xludf.DUMMYFUNCTION("""COMPUTED_VALUE"""),"fulfin - financing ecommerce")</f>
        <v>fulfin - financing ecommerce</v>
      </c>
      <c r="F28" s="7" t="str">
        <f>IFERROR(__xludf.DUMMYFUNCTION("""COMPUTED_VALUE"""),"None")</f>
        <v>None</v>
      </c>
      <c r="G28" s="7" t="str">
        <f>IFERROR(__xludf.DUMMYFUNCTION("""COMPUTED_VALUE"""),"No salary data")</f>
        <v>No salary data</v>
      </c>
      <c r="H28" s="7" t="str">
        <f>IFERROR(__xludf.DUMMYFUNCTION("""COMPUTED_VALUE"""),"No salary data")</f>
        <v>No salary data</v>
      </c>
      <c r="I28" s="7" t="str">
        <f>IFERROR(__xludf.DUMMYFUNCTION("""COMPUTED_VALUE"""),"No salary data")</f>
        <v>No salary data</v>
      </c>
      <c r="J28" s="7" t="str">
        <f>IFERROR(__xludf.DUMMYFUNCTION("""COMPUTED_VALUE"""),"Python, Statistic")</f>
        <v>Python, Statistic</v>
      </c>
      <c r="K28" s="7" t="str">
        <f>IFERROR(__xludf.DUMMYFUNCTION("""COMPUTED_VALUE"""),"Internship")</f>
        <v>Internship</v>
      </c>
      <c r="L28" s="7" t="str">
        <f>IFERROR(__xludf.DUMMYFUNCTION("""COMPUTED_VALUE"""),"None")</f>
        <v>None</v>
      </c>
      <c r="M28" s="7"/>
      <c r="N28" s="7"/>
      <c r="O28" s="7"/>
    </row>
    <row r="29">
      <c r="A29" s="29">
        <f>IFERROR(__xludf.DUMMYFUNCTION("""COMPUTED_VALUE"""),25.0)</f>
        <v>25</v>
      </c>
      <c r="B29" s="7" t="str">
        <f>IFERROR(__xludf.DUMMYFUNCTION("""COMPUTED_VALUE"""),"vor 28 Tagen")</f>
        <v>vor 28 Tagen</v>
      </c>
      <c r="C29" s="7" t="str">
        <f>IFERROR(__xludf.DUMMYFUNCTION("""COMPUTED_VALUE"""),"Intern (f/m/d) Data Analyst")</f>
        <v>Intern (f/m/d) Data Analyst</v>
      </c>
      <c r="D29" s="7" t="str">
        <f>IFERROR(__xludf.DUMMYFUNCTION("""COMPUTED_VALUE"""),"Tuttlingen")</f>
        <v>Tuttlingen</v>
      </c>
      <c r="E29" s="7" t="str">
        <f>IFERROR(__xludf.DUMMYFUNCTION("""COMPUTED_VALUE"""),"Aesculap AG")</f>
        <v>Aesculap AG</v>
      </c>
      <c r="F29" s="7" t="str">
        <f>IFERROR(__xludf.DUMMYFUNCTION("""COMPUTED_VALUE"""),"None")</f>
        <v>None</v>
      </c>
      <c r="G29" s="7" t="str">
        <f>IFERROR(__xludf.DUMMYFUNCTION("""COMPUTED_VALUE"""),"No salary data")</f>
        <v>No salary data</v>
      </c>
      <c r="H29" s="7" t="str">
        <f>IFERROR(__xludf.DUMMYFUNCTION("""COMPUTED_VALUE"""),"No salary data")</f>
        <v>No salary data</v>
      </c>
      <c r="I29" s="7" t="str">
        <f>IFERROR(__xludf.DUMMYFUNCTION("""COMPUTED_VALUE"""),"No salary data")</f>
        <v>No salary data</v>
      </c>
      <c r="J29" s="7" t="str">
        <f>IFERROR(__xludf.DUMMYFUNCTION("""COMPUTED_VALUE"""),"Python, Tableau, Machine Learning, Git, Agile")</f>
        <v>Python, Tableau, Machine Learning, Git, Agile</v>
      </c>
      <c r="K29" s="7" t="str">
        <f>IFERROR(__xludf.DUMMYFUNCTION("""COMPUTED_VALUE"""),"No job type data")</f>
        <v>No job type data</v>
      </c>
      <c r="L29" s="7" t="str">
        <f>IFERROR(__xludf.DUMMYFUNCTION("""COMPUTED_VALUE"""),"3,7")</f>
        <v>3,7</v>
      </c>
      <c r="M29" s="7"/>
      <c r="N29" s="7"/>
      <c r="O29" s="7"/>
    </row>
    <row r="30">
      <c r="A30" s="29">
        <f>IFERROR(__xludf.DUMMYFUNCTION("""COMPUTED_VALUE"""),26.0)</f>
        <v>26</v>
      </c>
      <c r="B30" s="7" t="str">
        <f>IFERROR(__xludf.DUMMYFUNCTION("""COMPUTED_VALUE"""),"vor 3 Tagen")</f>
        <v>vor 3 Tagen</v>
      </c>
      <c r="C30" s="7" t="str">
        <f>IFERROR(__xludf.DUMMYFUNCTION("""COMPUTED_VALUE"""),"Internship/Working Student: Data Science / Business Intellig...")</f>
        <v>Internship/Working Student: Data Science / Business Intellig...</v>
      </c>
      <c r="D30" s="7" t="str">
        <f>IFERROR(__xludf.DUMMYFUNCTION("""COMPUTED_VALUE"""),"Berlin")</f>
        <v>Berlin</v>
      </c>
      <c r="E30" s="7" t="str">
        <f>IFERROR(__xludf.DUMMYFUNCTION("""COMPUTED_VALUE"""),"Mailbutler GmbH")</f>
        <v>Mailbutler GmbH</v>
      </c>
      <c r="F30" s="7" t="str">
        <f>IFERROR(__xludf.DUMMYFUNCTION("""COMPUTED_VALUE"""),"None")</f>
        <v>None</v>
      </c>
      <c r="G30" s="7" t="str">
        <f>IFERROR(__xludf.DUMMYFUNCTION("""COMPUTED_VALUE"""),"No salary data")</f>
        <v>No salary data</v>
      </c>
      <c r="H30" s="7" t="str">
        <f>IFERROR(__xludf.DUMMYFUNCTION("""COMPUTED_VALUE"""),"No salary data")</f>
        <v>No salary data</v>
      </c>
      <c r="I30" s="7" t="str">
        <f>IFERROR(__xludf.DUMMYFUNCTION("""COMPUTED_VALUE"""),"No salary data")</f>
        <v>No salary data</v>
      </c>
      <c r="J30" s="7" t="str">
        <f>IFERROR(__xludf.DUMMYFUNCTION("""COMPUTED_VALUE"""),"Python, SQL")</f>
        <v>Python, SQL</v>
      </c>
      <c r="K30" s="7" t="str">
        <f>IFERROR(__xludf.DUMMYFUNCTION("""COMPUTED_VALUE"""),"Internship")</f>
        <v>Internship</v>
      </c>
      <c r="L30" s="7" t="str">
        <f>IFERROR(__xludf.DUMMYFUNCTION("""COMPUTED_VALUE"""),"None")</f>
        <v>None</v>
      </c>
      <c r="M30" s="7"/>
      <c r="N30" s="7"/>
      <c r="O30" s="7"/>
    </row>
    <row r="31">
      <c r="A31" s="29">
        <f>IFERROR(__xludf.DUMMYFUNCTION("""COMPUTED_VALUE"""),27.0)</f>
        <v>27</v>
      </c>
      <c r="B31" s="7" t="str">
        <f>IFERROR(__xludf.DUMMYFUNCTION("""COMPUTED_VALUE"""),"vor 3 Tagen")</f>
        <v>vor 3 Tagen</v>
      </c>
      <c r="C31" s="7" t="str">
        <f>IFERROR(__xludf.DUMMYFUNCTION("""COMPUTED_VALUE"""),"Data Engineer Intern (m/f/d)")</f>
        <v>Data Engineer Intern (m/f/d)</v>
      </c>
      <c r="D31" s="7" t="str">
        <f>IFERROR(__xludf.DUMMYFUNCTION("""COMPUTED_VALUE"""),"München")</f>
        <v>München</v>
      </c>
      <c r="E31" s="7" t="str">
        <f>IFERROR(__xludf.DUMMYFUNCTION("""COMPUTED_VALUE"""),"Acanthos Ventures GmbH")</f>
        <v>Acanthos Ventures GmbH</v>
      </c>
      <c r="F31" s="7" t="str">
        <f>IFERROR(__xludf.DUMMYFUNCTION("""COMPUTED_VALUE"""),"None")</f>
        <v>None</v>
      </c>
      <c r="G31" s="7" t="str">
        <f>IFERROR(__xludf.DUMMYFUNCTION("""COMPUTED_VALUE"""),"No salary data")</f>
        <v>No salary data</v>
      </c>
      <c r="H31" s="7" t="str">
        <f>IFERROR(__xludf.DUMMYFUNCTION("""COMPUTED_VALUE"""),"No salary data")</f>
        <v>No salary data</v>
      </c>
      <c r="I31" s="7" t="str">
        <f>IFERROR(__xludf.DUMMYFUNCTION("""COMPUTED_VALUE"""),"No salary data")</f>
        <v>No salary data</v>
      </c>
      <c r="J31" s="7" t="str">
        <f>IFERROR(__xludf.DUMMYFUNCTION("""COMPUTED_VALUE"""),"Python, SQL, Git")</f>
        <v>Python, SQL, Git</v>
      </c>
      <c r="K31" s="7" t="str">
        <f>IFERROR(__xludf.DUMMYFUNCTION("""COMPUTED_VALUE"""),"No job type data")</f>
        <v>No job type data</v>
      </c>
      <c r="L31" s="7" t="str">
        <f>IFERROR(__xludf.DUMMYFUNCTION("""COMPUTED_VALUE"""),"None")</f>
        <v>None</v>
      </c>
      <c r="M31" s="7"/>
      <c r="N31" s="7"/>
      <c r="O31" s="7"/>
    </row>
    <row r="32">
      <c r="A32" s="29">
        <f>IFERROR(__xludf.DUMMYFUNCTION("""COMPUTED_VALUE"""),28.0)</f>
        <v>28</v>
      </c>
      <c r="B32" s="7" t="str">
        <f>IFERROR(__xludf.DUMMYFUNCTION("""COMPUTED_VALUE"""),"vor 4 Tagen")</f>
        <v>vor 4 Tagen</v>
      </c>
      <c r="C32" s="7" t="str">
        <f>IFERROR(__xludf.DUMMYFUNCTION("""COMPUTED_VALUE"""),"University Graduate Data Analytics international (m/f/x)")</f>
        <v>University Graduate Data Analytics international (m/f/x)</v>
      </c>
      <c r="D32" s="7" t="str">
        <f>IFERROR(__xludf.DUMMYFUNCTION("""COMPUTED_VALUE"""),"Bonn")</f>
        <v>Bonn</v>
      </c>
      <c r="E32" s="7" t="str">
        <f>IFERROR(__xludf.DUMMYFUNCTION("""COMPUTED_VALUE"""),"DHL Chief Executive Officer")</f>
        <v>DHL Chief Executive Officer</v>
      </c>
      <c r="F32" s="7" t="str">
        <f>IFERROR(__xludf.DUMMYFUNCTION("""COMPUTED_VALUE"""),"None")</f>
        <v>None</v>
      </c>
      <c r="G32" s="7" t="str">
        <f>IFERROR(__xludf.DUMMYFUNCTION("""COMPUTED_VALUE"""),"No salary data")</f>
        <v>No salary data</v>
      </c>
      <c r="H32" s="7" t="str">
        <f>IFERROR(__xludf.DUMMYFUNCTION("""COMPUTED_VALUE"""),"No salary data")</f>
        <v>No salary data</v>
      </c>
      <c r="I32" s="7" t="str">
        <f>IFERROR(__xludf.DUMMYFUNCTION("""COMPUTED_VALUE"""),"No salary data")</f>
        <v>No salary data</v>
      </c>
      <c r="J32" s="7" t="str">
        <f>IFERROR(__xludf.DUMMYFUNCTION("""COMPUTED_VALUE"""),"Python, Excel, Machine Learning")</f>
        <v>Python, Excel, Machine Learning</v>
      </c>
      <c r="K32" s="7" t="str">
        <f>IFERROR(__xludf.DUMMYFUNCTION("""COMPUTED_VALUE"""),"Internship")</f>
        <v>Internship</v>
      </c>
      <c r="L32" s="7" t="str">
        <f>IFERROR(__xludf.DUMMYFUNCTION("""COMPUTED_VALUE"""),"None")</f>
        <v>None</v>
      </c>
      <c r="M32" s="7"/>
      <c r="N32" s="7"/>
      <c r="O32" s="7"/>
    </row>
    <row r="33">
      <c r="A33" s="29">
        <f>IFERROR(__xludf.DUMMYFUNCTION("""COMPUTED_VALUE"""),29.0)</f>
        <v>29</v>
      </c>
      <c r="B33" s="7" t="str">
        <f>IFERROR(__xludf.DUMMYFUNCTION("""COMPUTED_VALUE"""),"Gerade geschaltet")</f>
        <v>Gerade geschaltet</v>
      </c>
      <c r="C33" s="7" t="str">
        <f>IFERROR(__xludf.DUMMYFUNCTION("""COMPUTED_VALUE"""),"Data Scientist (m/w/d)")</f>
        <v>Data Scientist (m/w/d)</v>
      </c>
      <c r="D33" s="7" t="str">
        <f>IFERROR(__xludf.DUMMYFUNCTION("""COMPUTED_VALUE"""),"Dortmund")</f>
        <v>Dortmund</v>
      </c>
      <c r="E33" s="7" t="str">
        <f>IFERROR(__xludf.DUMMYFUNCTION("""COMPUTED_VALUE"""),"sdc ventures GmbH")</f>
        <v>sdc ventures GmbH</v>
      </c>
      <c r="F33" s="7" t="str">
        <f>IFERROR(__xludf.DUMMYFUNCTION("""COMPUTED_VALUE"""),"None")</f>
        <v>None</v>
      </c>
      <c r="G33" s="7" t="str">
        <f>IFERROR(__xludf.DUMMYFUNCTION("""COMPUTED_VALUE"""),"No salary data")</f>
        <v>No salary data</v>
      </c>
      <c r="H33" s="7" t="str">
        <f>IFERROR(__xludf.DUMMYFUNCTION("""COMPUTED_VALUE"""),"No salary data")</f>
        <v>No salary data</v>
      </c>
      <c r="I33" s="7" t="str">
        <f>IFERROR(__xludf.DUMMYFUNCTION("""COMPUTED_VALUE"""),"No salary data")</f>
        <v>No salary data</v>
      </c>
      <c r="J33" s="7" t="str">
        <f>IFERROR(__xludf.DUMMYFUNCTION("""COMPUTED_VALUE"""),"Python, SQL, Tableau, Excel")</f>
        <v>Python, SQL, Tableau, Excel</v>
      </c>
      <c r="K33" s="7" t="str">
        <f>IFERROR(__xludf.DUMMYFUNCTION("""COMPUTED_VALUE"""),"No job type data")</f>
        <v>No job type data</v>
      </c>
      <c r="L33" s="7" t="str">
        <f>IFERROR(__xludf.DUMMYFUNCTION("""COMPUTED_VALUE"""),"None")</f>
        <v>None</v>
      </c>
      <c r="M33" s="7"/>
      <c r="N33" s="7"/>
      <c r="O33" s="7"/>
    </row>
    <row r="34">
      <c r="A34" s="29">
        <f>IFERROR(__xludf.DUMMYFUNCTION("""COMPUTED_VALUE"""),30.0)</f>
        <v>30</v>
      </c>
      <c r="B34" s="7" t="str">
        <f>IFERROR(__xludf.DUMMYFUNCTION("""COMPUTED_VALUE"""),"vor 6 Tagen")</f>
        <v>vor 6 Tagen</v>
      </c>
      <c r="C34" s="7" t="str">
        <f>IFERROR(__xludf.DUMMYFUNCTION("""COMPUTED_VALUE"""),"Student Job: Data Analysis for Process Modeling (f/m/div)*")</f>
        <v>Student Job: Data Analysis for Process Modeling (f/m/div)*</v>
      </c>
      <c r="D34" s="7" t="str">
        <f>IFERROR(__xludf.DUMMYFUNCTION("""COMPUTED_VALUE"""),"Regensburg")</f>
        <v>Regensburg</v>
      </c>
      <c r="E34" s="7" t="str">
        <f>IFERROR(__xludf.DUMMYFUNCTION("""COMPUTED_VALUE"""),"Infineon Technologies")</f>
        <v>Infineon Technologies</v>
      </c>
      <c r="F34" s="7" t="str">
        <f>IFERROR(__xludf.DUMMYFUNCTION("""COMPUTED_VALUE"""),"None")</f>
        <v>None</v>
      </c>
      <c r="G34" s="7" t="str">
        <f>IFERROR(__xludf.DUMMYFUNCTION("""COMPUTED_VALUE"""),"No salary data")</f>
        <v>No salary data</v>
      </c>
      <c r="H34" s="7" t="str">
        <f>IFERROR(__xludf.DUMMYFUNCTION("""COMPUTED_VALUE"""),"No salary data")</f>
        <v>No salary data</v>
      </c>
      <c r="I34" s="7" t="str">
        <f>IFERROR(__xludf.DUMMYFUNCTION("""COMPUTED_VALUE"""),"No salary data")</f>
        <v>No salary data</v>
      </c>
      <c r="J34" s="7" t="str">
        <f>IFERROR(__xludf.DUMMYFUNCTION("""COMPUTED_VALUE"""),"Python, Excel, Machine Learning")</f>
        <v>Python, Excel, Machine Learning</v>
      </c>
      <c r="K34" s="7" t="str">
        <f>IFERROR(__xludf.DUMMYFUNCTION("""COMPUTED_VALUE"""),"No job type data")</f>
        <v>No job type data</v>
      </c>
      <c r="L34" s="7" t="str">
        <f>IFERROR(__xludf.DUMMYFUNCTION("""COMPUTED_VALUE"""),"4,0")</f>
        <v>4,0</v>
      </c>
      <c r="M34" s="7"/>
      <c r="N34" s="7"/>
      <c r="O34" s="7"/>
    </row>
    <row r="35">
      <c r="A35" s="29">
        <f>IFERROR(__xludf.DUMMYFUNCTION("""COMPUTED_VALUE"""),31.0)</f>
        <v>31</v>
      </c>
      <c r="B35" s="7" t="str">
        <f>IFERROR(__xludf.DUMMYFUNCTION("""COMPUTED_VALUE"""),"vor 13 Tagen")</f>
        <v>vor 13 Tagen</v>
      </c>
      <c r="C35" s="7" t="str">
        <f>IFERROR(__xludf.DUMMYFUNCTION("""COMPUTED_VALUE"""),"Junior Solution Architect Business Intelligence &amp; Data Analy...")</f>
        <v>Junior Solution Architect Business Intelligence &amp; Data Analy...</v>
      </c>
      <c r="D35" s="7" t="str">
        <f>IFERROR(__xludf.DUMMYFUNCTION("""COMPUTED_VALUE"""),"Grafenrheinfeld")</f>
        <v>Grafenrheinfeld</v>
      </c>
      <c r="E35" s="7" t="str">
        <f>IFERROR(__xludf.DUMMYFUNCTION("""COMPUTED_VALUE"""),"HUBSTER.S GmbH")</f>
        <v>HUBSTER.S GmbH</v>
      </c>
      <c r="F35" s="7" t="str">
        <f>IFERROR(__xludf.DUMMYFUNCTION("""COMPUTED_VALUE"""),"45,000 € - 65,000 € pro Jahr")</f>
        <v>45,000 € - 65,000 € pro Jahr</v>
      </c>
      <c r="G35" s="7">
        <f>IFERROR(__xludf.DUMMYFUNCTION("""COMPUTED_VALUE"""),55000.0)</f>
        <v>55000</v>
      </c>
      <c r="H35" s="7" t="str">
        <f>IFERROR(__xludf.DUMMYFUNCTION("""COMPUTED_VALUE"""),"Jahr")</f>
        <v>Jahr</v>
      </c>
      <c r="I35" s="7">
        <f>IFERROR(__xludf.DUMMYFUNCTION("""COMPUTED_VALUE"""),55000.0)</f>
        <v>55000</v>
      </c>
      <c r="J35" s="7" t="str">
        <f>IFERROR(__xludf.DUMMYFUNCTION("""COMPUTED_VALUE"""),"Python, SQL, Git")</f>
        <v>Python, SQL, Git</v>
      </c>
      <c r="K35" s="7" t="str">
        <f>IFERROR(__xludf.DUMMYFUNCTION("""COMPUTED_VALUE"""),"No job type data")</f>
        <v>No job type data</v>
      </c>
      <c r="L35" s="7" t="str">
        <f>IFERROR(__xludf.DUMMYFUNCTION("""COMPUTED_VALUE"""),"None")</f>
        <v>None</v>
      </c>
      <c r="M35" s="7"/>
      <c r="N35" s="7"/>
      <c r="O35" s="7"/>
    </row>
    <row r="36">
      <c r="A36" s="29">
        <f>IFERROR(__xludf.DUMMYFUNCTION("""COMPUTED_VALUE"""),32.0)</f>
        <v>32</v>
      </c>
      <c r="B36" s="7" t="str">
        <f>IFERROR(__xludf.DUMMYFUNCTION("""COMPUTED_VALUE"""),"Vor mehr als 30 Tagen")</f>
        <v>Vor mehr als 30 Tagen</v>
      </c>
      <c r="C36" s="7" t="str">
        <f>IFERROR(__xludf.DUMMYFUNCTION("""COMPUTED_VALUE"""),"Data Analyst (m/w/d) gesucht")</f>
        <v>Data Analyst (m/w/d) gesucht</v>
      </c>
      <c r="D36" s="7" t="str">
        <f>IFERROR(__xludf.DUMMYFUNCTION("""COMPUTED_VALUE"""),"Hamburg")</f>
        <v>Hamburg</v>
      </c>
      <c r="E36" s="7" t="str">
        <f>IFERROR(__xludf.DUMMYFUNCTION("""COMPUTED_VALUE"""),"Hanseatic Statistics")</f>
        <v>Hanseatic Statistics</v>
      </c>
      <c r="F36" s="7" t="str">
        <f>IFERROR(__xludf.DUMMYFUNCTION("""COMPUTED_VALUE"""),"27 € pro Stunde")</f>
        <v>27 € pro Stunde</v>
      </c>
      <c r="G36" s="7">
        <f>IFERROR(__xludf.DUMMYFUNCTION("""COMPUTED_VALUE"""),27.0)</f>
        <v>27</v>
      </c>
      <c r="H36" s="7" t="str">
        <f>IFERROR(__xludf.DUMMYFUNCTION("""COMPUTED_VALUE"""),"Stunde")</f>
        <v>Stunde</v>
      </c>
      <c r="I36" s="7">
        <f>IFERROR(__xludf.DUMMYFUNCTION("""COMPUTED_VALUE"""),57024.0)</f>
        <v>57024</v>
      </c>
      <c r="J36" s="7" t="str">
        <f>IFERROR(__xludf.DUMMYFUNCTION("""COMPUTED_VALUE"""),"Python, SQL, Statistic")</f>
        <v>Python, SQL, Statistic</v>
      </c>
      <c r="K36" s="7" t="str">
        <f>IFERROR(__xludf.DUMMYFUNCTION("""COMPUTED_VALUE"""),"No job type data")</f>
        <v>No job type data</v>
      </c>
      <c r="L36" s="7" t="str">
        <f>IFERROR(__xludf.DUMMYFUNCTION("""COMPUTED_VALUE"""),"None")</f>
        <v>None</v>
      </c>
      <c r="M36" s="7"/>
      <c r="N36" s="7"/>
      <c r="O36" s="7"/>
    </row>
    <row r="37">
      <c r="A37" s="29">
        <f>IFERROR(__xludf.DUMMYFUNCTION("""COMPUTED_VALUE"""),33.0)</f>
        <v>33</v>
      </c>
      <c r="B37" s="7" t="str">
        <f>IFERROR(__xludf.DUMMYFUNCTION("""COMPUTED_VALUE"""),"Vor mehr als 30 Tagen")</f>
        <v>Vor mehr als 30 Tagen</v>
      </c>
      <c r="C37" s="7" t="str">
        <f>IFERROR(__xludf.DUMMYFUNCTION("""COMPUTED_VALUE"""),"Data Analyst Intern (m/f/d)")</f>
        <v>Data Analyst Intern (m/f/d)</v>
      </c>
      <c r="D37" s="7" t="str">
        <f>IFERROR(__xludf.DUMMYFUNCTION("""COMPUTED_VALUE"""),"München")</f>
        <v>München</v>
      </c>
      <c r="E37" s="7" t="str">
        <f>IFERROR(__xludf.DUMMYFUNCTION("""COMPUTED_VALUE"""),"Acanthos Ventures GmbH")</f>
        <v>Acanthos Ventures GmbH</v>
      </c>
      <c r="F37" s="7" t="str">
        <f>IFERROR(__xludf.DUMMYFUNCTION("""COMPUTED_VALUE"""),"None")</f>
        <v>None</v>
      </c>
      <c r="G37" s="7" t="str">
        <f>IFERROR(__xludf.DUMMYFUNCTION("""COMPUTED_VALUE"""),"No salary data")</f>
        <v>No salary data</v>
      </c>
      <c r="H37" s="7" t="str">
        <f>IFERROR(__xludf.DUMMYFUNCTION("""COMPUTED_VALUE"""),"No salary data")</f>
        <v>No salary data</v>
      </c>
      <c r="I37" s="7" t="str">
        <f>IFERROR(__xludf.DUMMYFUNCTION("""COMPUTED_VALUE"""),"No salary data")</f>
        <v>No salary data</v>
      </c>
      <c r="J37" s="7" t="str">
        <f>IFERROR(__xludf.DUMMYFUNCTION("""COMPUTED_VALUE"""),"Python, Tableau, Excel, Git")</f>
        <v>Python, Tableau, Excel, Git</v>
      </c>
      <c r="K37" s="7" t="str">
        <f>IFERROR(__xludf.DUMMYFUNCTION("""COMPUTED_VALUE"""),"No job type data")</f>
        <v>No job type data</v>
      </c>
      <c r="L37" s="7" t="str">
        <f>IFERROR(__xludf.DUMMYFUNCTION("""COMPUTED_VALUE"""),"None")</f>
        <v>None</v>
      </c>
      <c r="M37" s="7"/>
      <c r="N37" s="7"/>
      <c r="O37" s="7"/>
    </row>
    <row r="38">
      <c r="A38" s="29">
        <f>IFERROR(__xludf.DUMMYFUNCTION("""COMPUTED_VALUE"""),34.0)</f>
        <v>34</v>
      </c>
      <c r="B38" s="7" t="str">
        <f>IFERROR(__xludf.DUMMYFUNCTION("""COMPUTED_VALUE"""),"vor 10 Tagen")</f>
        <v>vor 10 Tagen</v>
      </c>
      <c r="C38" s="7" t="str">
        <f>IFERROR(__xludf.DUMMYFUNCTION("""COMPUTED_VALUE"""),"Data Engineer (Internship)")</f>
        <v>Data Engineer (Internship)</v>
      </c>
      <c r="D38" s="7" t="str">
        <f>IFERROR(__xludf.DUMMYFUNCTION("""COMPUTED_VALUE"""),"München")</f>
        <v>München</v>
      </c>
      <c r="E38" s="7" t="str">
        <f>IFERROR(__xludf.DUMMYFUNCTION("""COMPUTED_VALUE"""),"Fusionbase")</f>
        <v>Fusionbase</v>
      </c>
      <c r="F38" s="7" t="str">
        <f>IFERROR(__xludf.DUMMYFUNCTION("""COMPUTED_VALUE"""),"None")</f>
        <v>None</v>
      </c>
      <c r="G38" s="7" t="str">
        <f>IFERROR(__xludf.DUMMYFUNCTION("""COMPUTED_VALUE"""),"No salary data")</f>
        <v>No salary data</v>
      </c>
      <c r="H38" s="7" t="str">
        <f>IFERROR(__xludf.DUMMYFUNCTION("""COMPUTED_VALUE"""),"No salary data")</f>
        <v>No salary data</v>
      </c>
      <c r="I38" s="7" t="str">
        <f>IFERROR(__xludf.DUMMYFUNCTION("""COMPUTED_VALUE"""),"No salary data")</f>
        <v>No salary data</v>
      </c>
      <c r="J38" s="7" t="str">
        <f>IFERROR(__xludf.DUMMYFUNCTION("""COMPUTED_VALUE"""),"Python")</f>
        <v>Python</v>
      </c>
      <c r="K38" s="7" t="str">
        <f>IFERROR(__xludf.DUMMYFUNCTION("""COMPUTED_VALUE"""),"Internship")</f>
        <v>Internship</v>
      </c>
      <c r="L38" s="7" t="str">
        <f>IFERROR(__xludf.DUMMYFUNCTION("""COMPUTED_VALUE"""),"None")</f>
        <v>None</v>
      </c>
      <c r="M38" s="7"/>
      <c r="N38" s="7"/>
      <c r="O38" s="7"/>
    </row>
    <row r="39">
      <c r="A39" s="29">
        <f>IFERROR(__xludf.DUMMYFUNCTION("""COMPUTED_VALUE"""),35.0)</f>
        <v>35</v>
      </c>
      <c r="B39" s="7" t="str">
        <f>IFERROR(__xludf.DUMMYFUNCTION("""COMPUTED_VALUE"""),"vor 21 Tagen")</f>
        <v>vor 21 Tagen</v>
      </c>
      <c r="C39" s="7" t="str">
        <f>IFERROR(__xludf.DUMMYFUNCTION("""COMPUTED_VALUE"""),"Full-time opportunities for students &amp; recent graduates: Bus...")</f>
        <v>Full-time opportunities for students &amp; recent graduates: Bus...</v>
      </c>
      <c r="D39" s="7" t="str">
        <f>IFERROR(__xludf.DUMMYFUNCTION("""COMPUTED_VALUE"""),"München")</f>
        <v>München</v>
      </c>
      <c r="E39" s="7" t="str">
        <f>IFERROR(__xludf.DUMMYFUNCTION("""COMPUTED_VALUE"""),"Microsoft")</f>
        <v>Microsoft</v>
      </c>
      <c r="F39" s="7" t="str">
        <f>IFERROR(__xludf.DUMMYFUNCTION("""COMPUTED_VALUE"""),"None")</f>
        <v>None</v>
      </c>
      <c r="G39" s="7" t="str">
        <f>IFERROR(__xludf.DUMMYFUNCTION("""COMPUTED_VALUE"""),"No salary data")</f>
        <v>No salary data</v>
      </c>
      <c r="H39" s="7" t="str">
        <f>IFERROR(__xludf.DUMMYFUNCTION("""COMPUTED_VALUE"""),"No salary data")</f>
        <v>No salary data</v>
      </c>
      <c r="I39" s="7" t="str">
        <f>IFERROR(__xludf.DUMMYFUNCTION("""COMPUTED_VALUE"""),"No salary data")</f>
        <v>No salary data</v>
      </c>
      <c r="J39" s="7" t="str">
        <f>IFERROR(__xludf.DUMMYFUNCTION("""COMPUTED_VALUE"""),"Excel, Git")</f>
        <v>Excel, Git</v>
      </c>
      <c r="K39" s="7" t="str">
        <f>IFERROR(__xludf.DUMMYFUNCTION("""COMPUTED_VALUE"""),"No job type data")</f>
        <v>No job type data</v>
      </c>
      <c r="L39" s="7" t="str">
        <f>IFERROR(__xludf.DUMMYFUNCTION("""COMPUTED_VALUE"""),"4,2")</f>
        <v>4,2</v>
      </c>
      <c r="M39" s="7"/>
      <c r="N39" s="7"/>
      <c r="O39" s="7"/>
    </row>
    <row r="40">
      <c r="A40" s="29">
        <f>IFERROR(__xludf.DUMMYFUNCTION("""COMPUTED_VALUE"""),36.0)</f>
        <v>36</v>
      </c>
      <c r="B40" s="7" t="str">
        <f>IFERROR(__xludf.DUMMYFUNCTION("""COMPUTED_VALUE"""),"Vor mehr als 30 Tagen")</f>
        <v>Vor mehr als 30 Tagen</v>
      </c>
      <c r="C40" s="7" t="str">
        <f>IFERROR(__xludf.DUMMYFUNCTION("""COMPUTED_VALUE"""),"Internship Data Science - Tech (m/f/d)")</f>
        <v>Internship Data Science - Tech (m/f/d)</v>
      </c>
      <c r="D40" s="7" t="str">
        <f>IFERROR(__xludf.DUMMYFUNCTION("""COMPUTED_VALUE"""),"Köln")</f>
        <v>Köln</v>
      </c>
      <c r="E40" s="7" t="str">
        <f>IFERROR(__xludf.DUMMYFUNCTION("""COMPUTED_VALUE"""),"BASF Digital Farming GmbH")</f>
        <v>BASF Digital Farming GmbH</v>
      </c>
      <c r="F40" s="7" t="str">
        <f>IFERROR(__xludf.DUMMYFUNCTION("""COMPUTED_VALUE"""),"None")</f>
        <v>None</v>
      </c>
      <c r="G40" s="7" t="str">
        <f>IFERROR(__xludf.DUMMYFUNCTION("""COMPUTED_VALUE"""),"No salary data")</f>
        <v>No salary data</v>
      </c>
      <c r="H40" s="7" t="str">
        <f>IFERROR(__xludf.DUMMYFUNCTION("""COMPUTED_VALUE"""),"No salary data")</f>
        <v>No salary data</v>
      </c>
      <c r="I40" s="7" t="str">
        <f>IFERROR(__xludf.DUMMYFUNCTION("""COMPUTED_VALUE"""),"No salary data")</f>
        <v>No salary data</v>
      </c>
      <c r="J40" s="7" t="str">
        <f>IFERROR(__xludf.DUMMYFUNCTION("""COMPUTED_VALUE"""),"Python, Machine Learning, Statistic, Git, Agile")</f>
        <v>Python, Machine Learning, Statistic, Git, Agile</v>
      </c>
      <c r="K40" s="7" t="str">
        <f>IFERROR(__xludf.DUMMYFUNCTION("""COMPUTED_VALUE"""),"Internship")</f>
        <v>Internship</v>
      </c>
      <c r="L40" s="7" t="str">
        <f>IFERROR(__xludf.DUMMYFUNCTION("""COMPUTED_VALUE"""),"None")</f>
        <v>None</v>
      </c>
      <c r="M40" s="7"/>
      <c r="N40" s="7"/>
      <c r="O40" s="7"/>
    </row>
    <row r="41">
      <c r="A41" s="29">
        <f>IFERROR(__xludf.DUMMYFUNCTION("""COMPUTED_VALUE"""),37.0)</f>
        <v>37</v>
      </c>
      <c r="B41" s="7" t="str">
        <f>IFERROR(__xludf.DUMMYFUNCTION("""COMPUTED_VALUE"""),"vor 5 Tagen")</f>
        <v>vor 5 Tagen</v>
      </c>
      <c r="C41" s="7" t="str">
        <f>IFERROR(__xludf.DUMMYFUNCTION("""COMPUTED_VALUE"""),"Compulsory internship - Engineering Data Analysis")</f>
        <v>Compulsory internship - Engineering Data Analysis</v>
      </c>
      <c r="D41" s="7" t="str">
        <f>IFERROR(__xludf.DUMMYFUNCTION("""COMPUTED_VALUE"""),"Hannover")</f>
        <v>Hannover</v>
      </c>
      <c r="E41" s="7" t="str">
        <f>IFERROR(__xludf.DUMMYFUNCTION("""COMPUTED_VALUE"""),"Continental AG")</f>
        <v>Continental AG</v>
      </c>
      <c r="F41" s="7" t="str">
        <f>IFERROR(__xludf.DUMMYFUNCTION("""COMPUTED_VALUE"""),"None")</f>
        <v>None</v>
      </c>
      <c r="G41" s="7" t="str">
        <f>IFERROR(__xludf.DUMMYFUNCTION("""COMPUTED_VALUE"""),"No salary data")</f>
        <v>No salary data</v>
      </c>
      <c r="H41" s="7" t="str">
        <f>IFERROR(__xludf.DUMMYFUNCTION("""COMPUTED_VALUE"""),"No salary data")</f>
        <v>No salary data</v>
      </c>
      <c r="I41" s="7" t="str">
        <f>IFERROR(__xludf.DUMMYFUNCTION("""COMPUTED_VALUE"""),"No salary data")</f>
        <v>No salary data</v>
      </c>
      <c r="J41" s="7"/>
      <c r="K41" s="7" t="str">
        <f>IFERROR(__xludf.DUMMYFUNCTION("""COMPUTED_VALUE"""),"Internship")</f>
        <v>Internship</v>
      </c>
      <c r="L41" s="7" t="str">
        <f>IFERROR(__xludf.DUMMYFUNCTION("""COMPUTED_VALUE"""),"4,0")</f>
        <v>4,0</v>
      </c>
      <c r="M41" s="7"/>
      <c r="N41" s="7"/>
      <c r="O41" s="7"/>
    </row>
    <row r="42">
      <c r="A42" s="29">
        <f>IFERROR(__xludf.DUMMYFUNCTION("""COMPUTED_VALUE"""),38.0)</f>
        <v>38</v>
      </c>
      <c r="B42" s="7" t="str">
        <f>IFERROR(__xludf.DUMMYFUNCTION("""COMPUTED_VALUE"""),"vor 4 Tagen")</f>
        <v>vor 4 Tagen</v>
      </c>
      <c r="C42" s="7" t="str">
        <f>IFERROR(__xludf.DUMMYFUNCTION("""COMPUTED_VALUE"""),"Junior Data Scientist (m/w/d)")</f>
        <v>Junior Data Scientist (m/w/d)</v>
      </c>
      <c r="D42" s="7" t="str">
        <f>IFERROR(__xludf.DUMMYFUNCTION("""COMPUTED_VALUE"""),"Düsseldorf")</f>
        <v>Düsseldorf</v>
      </c>
      <c r="E42" s="7" t="str">
        <f>IFERROR(__xludf.DUMMYFUNCTION("""COMPUTED_VALUE"""),"annalect")</f>
        <v>annalect</v>
      </c>
      <c r="F42" s="7" t="str">
        <f>IFERROR(__xludf.DUMMYFUNCTION("""COMPUTED_VALUE"""),"None")</f>
        <v>None</v>
      </c>
      <c r="G42" s="7" t="str">
        <f>IFERROR(__xludf.DUMMYFUNCTION("""COMPUTED_VALUE"""),"No salary data")</f>
        <v>No salary data</v>
      </c>
      <c r="H42" s="7" t="str">
        <f>IFERROR(__xludf.DUMMYFUNCTION("""COMPUTED_VALUE"""),"No salary data")</f>
        <v>No salary data</v>
      </c>
      <c r="I42" s="7" t="str">
        <f>IFERROR(__xludf.DUMMYFUNCTION("""COMPUTED_VALUE"""),"No salary data")</f>
        <v>No salary data</v>
      </c>
      <c r="J42" s="7" t="str">
        <f>IFERROR(__xludf.DUMMYFUNCTION("""COMPUTED_VALUE"""),"Python, SQL, Machine Learning, Git")</f>
        <v>Python, SQL, Machine Learning, Git</v>
      </c>
      <c r="K42" s="7" t="str">
        <f>IFERROR(__xludf.DUMMYFUNCTION("""COMPUTED_VALUE"""),"No job type data")</f>
        <v>No job type data</v>
      </c>
      <c r="L42" s="7" t="str">
        <f>IFERROR(__xludf.DUMMYFUNCTION("""COMPUTED_VALUE"""),"None")</f>
        <v>None</v>
      </c>
      <c r="M42" s="7"/>
      <c r="N42" s="7"/>
      <c r="O42" s="7"/>
    </row>
    <row r="43">
      <c r="A43" s="29">
        <f>IFERROR(__xludf.DUMMYFUNCTION("""COMPUTED_VALUE"""),39.0)</f>
        <v>39</v>
      </c>
      <c r="B43" s="7" t="str">
        <f>IFERROR(__xludf.DUMMYFUNCTION("""COMPUTED_VALUE"""),"Vor mehr als 30 Tagen")</f>
        <v>Vor mehr als 30 Tagen</v>
      </c>
      <c r="C43" s="7" t="str">
        <f>IFERROR(__xludf.DUMMYFUNCTION("""COMPUTED_VALUE"""),"GEN-C Graduate Program - AI / Analytics / Data Science / BI...")</f>
        <v>GEN-C Graduate Program - AI / Analytics / Data Science / BI...</v>
      </c>
      <c r="D43" s="7" t="str">
        <f>IFERROR(__xludf.DUMMYFUNCTION("""COMPUTED_VALUE"""),"Frankfurt am Main")</f>
        <v>Frankfurt am Main</v>
      </c>
      <c r="E43" s="7" t="str">
        <f>IFERROR(__xludf.DUMMYFUNCTION("""COMPUTED_VALUE"""),"Cognizant")</f>
        <v>Cognizant</v>
      </c>
      <c r="F43" s="7" t="str">
        <f>IFERROR(__xludf.DUMMYFUNCTION("""COMPUTED_VALUE"""),"None")</f>
        <v>None</v>
      </c>
      <c r="G43" s="7" t="str">
        <f>IFERROR(__xludf.DUMMYFUNCTION("""COMPUTED_VALUE"""),"No salary data")</f>
        <v>No salary data</v>
      </c>
      <c r="H43" s="7" t="str">
        <f>IFERROR(__xludf.DUMMYFUNCTION("""COMPUTED_VALUE"""),"No salary data")</f>
        <v>No salary data</v>
      </c>
      <c r="I43" s="7" t="str">
        <f>IFERROR(__xludf.DUMMYFUNCTION("""COMPUTED_VALUE"""),"No salary data")</f>
        <v>No salary data</v>
      </c>
      <c r="J43" s="7" t="str">
        <f>IFERROR(__xludf.DUMMYFUNCTION("""COMPUTED_VALUE"""),"Python, Tableau, Machine Learning, Deep Learning, Git, Agile")</f>
        <v>Python, Tableau, Machine Learning, Deep Learning, Git, Agile</v>
      </c>
      <c r="K43" s="7" t="str">
        <f>IFERROR(__xludf.DUMMYFUNCTION("""COMPUTED_VALUE"""),"Full Time")</f>
        <v>Full Time</v>
      </c>
      <c r="L43" s="7" t="str">
        <f>IFERROR(__xludf.DUMMYFUNCTION("""COMPUTED_VALUE"""),"3,9")</f>
        <v>3,9</v>
      </c>
      <c r="M43" s="7"/>
      <c r="N43" s="7"/>
      <c r="O43" s="7"/>
    </row>
    <row r="44">
      <c r="A44" s="29">
        <f>IFERROR(__xludf.DUMMYFUNCTION("""COMPUTED_VALUE"""),40.0)</f>
        <v>40</v>
      </c>
      <c r="B44" s="7" t="str">
        <f>IFERROR(__xludf.DUMMYFUNCTION("""COMPUTED_VALUE"""),"vor 6 Tagen")</f>
        <v>vor 6 Tagen</v>
      </c>
      <c r="C44" s="7" t="str">
        <f>IFERROR(__xludf.DUMMYFUNCTION("""COMPUTED_VALUE"""),"Data Analyst Intern (m/f/d)")</f>
        <v>Data Analyst Intern (m/f/d)</v>
      </c>
      <c r="D44" s="7" t="str">
        <f>IFERROR(__xludf.DUMMYFUNCTION("""COMPUTED_VALUE"""),"Berlin")</f>
        <v>Berlin</v>
      </c>
      <c r="E44" s="7" t="str">
        <f>IFERROR(__xludf.DUMMYFUNCTION("""COMPUTED_VALUE"""),"Taxfix")</f>
        <v>Taxfix</v>
      </c>
      <c r="F44" s="7" t="str">
        <f>IFERROR(__xludf.DUMMYFUNCTION("""COMPUTED_VALUE"""),"None")</f>
        <v>None</v>
      </c>
      <c r="G44" s="7" t="str">
        <f>IFERROR(__xludf.DUMMYFUNCTION("""COMPUTED_VALUE"""),"No salary data")</f>
        <v>No salary data</v>
      </c>
      <c r="H44" s="7" t="str">
        <f>IFERROR(__xludf.DUMMYFUNCTION("""COMPUTED_VALUE"""),"No salary data")</f>
        <v>No salary data</v>
      </c>
      <c r="I44" s="7" t="str">
        <f>IFERROR(__xludf.DUMMYFUNCTION("""COMPUTED_VALUE"""),"No salary data")</f>
        <v>No salary data</v>
      </c>
      <c r="J44" s="7" t="str">
        <f>IFERROR(__xludf.DUMMYFUNCTION("""COMPUTED_VALUE"""),"Python, SQL, Statistic, Git")</f>
        <v>Python, SQL, Statistic, Git</v>
      </c>
      <c r="K44" s="7" t="str">
        <f>IFERROR(__xludf.DUMMYFUNCTION("""COMPUTED_VALUE"""),"Internship")</f>
        <v>Internship</v>
      </c>
      <c r="L44" s="7" t="str">
        <f>IFERROR(__xludf.DUMMYFUNCTION("""COMPUTED_VALUE"""),"None")</f>
        <v>None</v>
      </c>
      <c r="M44" s="7"/>
      <c r="N44" s="7"/>
      <c r="O44" s="7"/>
    </row>
    <row r="45">
      <c r="A45" s="29">
        <f>IFERROR(__xludf.DUMMYFUNCTION("""COMPUTED_VALUE"""),41.0)</f>
        <v>41</v>
      </c>
      <c r="B45" s="7" t="str">
        <f>IFERROR(__xludf.DUMMYFUNCTION("""COMPUTED_VALUE"""),"vor 7 Tagen")</f>
        <v>vor 7 Tagen</v>
      </c>
      <c r="C45" s="7" t="str">
        <f>IFERROR(__xludf.DUMMYFUNCTION("""COMPUTED_VALUE"""),"Praktikum Data Science")</f>
        <v>Praktikum Data Science</v>
      </c>
      <c r="D45" s="7" t="str">
        <f>IFERROR(__xludf.DUMMYFUNCTION("""COMPUTED_VALUE"""),"Baden-Württemberg")</f>
        <v>Baden-Württemberg</v>
      </c>
      <c r="E45" s="7" t="str">
        <f>IFERROR(__xludf.DUMMYFUNCTION("""COMPUTED_VALUE"""),"LIDL Stiftung &amp; Co. KG")</f>
        <v>LIDL Stiftung &amp; Co. KG</v>
      </c>
      <c r="F45" s="7" t="str">
        <f>IFERROR(__xludf.DUMMYFUNCTION("""COMPUTED_VALUE"""),"None")</f>
        <v>None</v>
      </c>
      <c r="G45" s="7" t="str">
        <f>IFERROR(__xludf.DUMMYFUNCTION("""COMPUTED_VALUE"""),"No salary data")</f>
        <v>No salary data</v>
      </c>
      <c r="H45" s="7" t="str">
        <f>IFERROR(__xludf.DUMMYFUNCTION("""COMPUTED_VALUE"""),"No salary data")</f>
        <v>No salary data</v>
      </c>
      <c r="I45" s="7" t="str">
        <f>IFERROR(__xludf.DUMMYFUNCTION("""COMPUTED_VALUE"""),"No salary data")</f>
        <v>No salary data</v>
      </c>
      <c r="J45" s="7" t="str">
        <f>IFERROR(__xludf.DUMMYFUNCTION("""COMPUTED_VALUE"""),"Python, SQL, Machine Learning, Agile")</f>
        <v>Python, SQL, Machine Learning, Agile</v>
      </c>
      <c r="K45" s="7" t="str">
        <f>IFERROR(__xludf.DUMMYFUNCTION("""COMPUTED_VALUE"""),"No job type data")</f>
        <v>No job type data</v>
      </c>
      <c r="L45" s="7" t="str">
        <f>IFERROR(__xludf.DUMMYFUNCTION("""COMPUTED_VALUE"""),"3,3")</f>
        <v>3,3</v>
      </c>
      <c r="M45" s="7"/>
      <c r="N45" s="7"/>
      <c r="O45" s="7"/>
    </row>
    <row r="46">
      <c r="A46" s="29">
        <f>IFERROR(__xludf.DUMMYFUNCTION("""COMPUTED_VALUE"""),42.0)</f>
        <v>42</v>
      </c>
      <c r="B46" s="7" t="str">
        <f>IFERROR(__xludf.DUMMYFUNCTION("""COMPUTED_VALUE"""),"vor 10 Tagen")</f>
        <v>vor 10 Tagen</v>
      </c>
      <c r="C46" s="7" t="str">
        <f>IFERROR(__xludf.DUMMYFUNCTION("""COMPUTED_VALUE"""),"Junior IT Business Analyst Master Data (f/m/div)*")</f>
        <v>Junior IT Business Analyst Master Data (f/m/div)*</v>
      </c>
      <c r="D46" s="7" t="str">
        <f>IFERROR(__xludf.DUMMYFUNCTION("""COMPUTED_VALUE"""),"München")</f>
        <v>München</v>
      </c>
      <c r="E46" s="7" t="str">
        <f>IFERROR(__xludf.DUMMYFUNCTION("""COMPUTED_VALUE"""),"Infineon Technologies AG")</f>
        <v>Infineon Technologies AG</v>
      </c>
      <c r="F46" s="7" t="str">
        <f>IFERROR(__xludf.DUMMYFUNCTION("""COMPUTED_VALUE"""),"None")</f>
        <v>None</v>
      </c>
      <c r="G46" s="7" t="str">
        <f>IFERROR(__xludf.DUMMYFUNCTION("""COMPUTED_VALUE"""),"No salary data")</f>
        <v>No salary data</v>
      </c>
      <c r="H46" s="7" t="str">
        <f>IFERROR(__xludf.DUMMYFUNCTION("""COMPUTED_VALUE"""),"No salary data")</f>
        <v>No salary data</v>
      </c>
      <c r="I46" s="7" t="str">
        <f>IFERROR(__xludf.DUMMYFUNCTION("""COMPUTED_VALUE"""),"No salary data")</f>
        <v>No salary data</v>
      </c>
      <c r="J46" s="7" t="str">
        <f>IFERROR(__xludf.DUMMYFUNCTION("""COMPUTED_VALUE"""),"SQL")</f>
        <v>SQL</v>
      </c>
      <c r="K46" s="7" t="str">
        <f>IFERROR(__xludf.DUMMYFUNCTION("""COMPUTED_VALUE"""),"Internship")</f>
        <v>Internship</v>
      </c>
      <c r="L46" s="7" t="str">
        <f>IFERROR(__xludf.DUMMYFUNCTION("""COMPUTED_VALUE"""),"4,0")</f>
        <v>4,0</v>
      </c>
      <c r="M46" s="7"/>
      <c r="N46" s="7"/>
      <c r="O46" s="7"/>
    </row>
    <row r="47">
      <c r="A47" s="29">
        <f>IFERROR(__xludf.DUMMYFUNCTION("""COMPUTED_VALUE"""),43.0)</f>
        <v>43</v>
      </c>
      <c r="B47" s="7" t="str">
        <f>IFERROR(__xludf.DUMMYFUNCTION("""COMPUTED_VALUE"""),"Vor mehr als 30 Tagen")</f>
        <v>Vor mehr als 30 Tagen</v>
      </c>
      <c r="C47" s="7" t="str">
        <f>IFERROR(__xludf.DUMMYFUNCTION("""COMPUTED_VALUE"""),"Data Consultant - All Levels")</f>
        <v>Data Consultant - All Levels</v>
      </c>
      <c r="D47" s="7" t="str">
        <f>IFERROR(__xludf.DUMMYFUNCTION("""COMPUTED_VALUE"""),"Berlin")</f>
        <v>Berlin</v>
      </c>
      <c r="E47" s="7" t="str">
        <f>IFERROR(__xludf.DUMMYFUNCTION("""COMPUTED_VALUE"""),"Pandata")</f>
        <v>Pandata</v>
      </c>
      <c r="F47" s="7" t="str">
        <f>IFERROR(__xludf.DUMMYFUNCTION("""COMPUTED_VALUE"""),"None")</f>
        <v>None</v>
      </c>
      <c r="G47" s="7" t="str">
        <f>IFERROR(__xludf.DUMMYFUNCTION("""COMPUTED_VALUE"""),"No salary data")</f>
        <v>No salary data</v>
      </c>
      <c r="H47" s="7" t="str">
        <f>IFERROR(__xludf.DUMMYFUNCTION("""COMPUTED_VALUE"""),"No salary data")</f>
        <v>No salary data</v>
      </c>
      <c r="I47" s="7" t="str">
        <f>IFERROR(__xludf.DUMMYFUNCTION("""COMPUTED_VALUE"""),"No salary data")</f>
        <v>No salary data</v>
      </c>
      <c r="J47" s="7" t="str">
        <f>IFERROR(__xludf.DUMMYFUNCTION("""COMPUTED_VALUE"""),"Python, SQL, Excel")</f>
        <v>Python, SQL, Excel</v>
      </c>
      <c r="K47" s="7" t="str">
        <f>IFERROR(__xludf.DUMMYFUNCTION("""COMPUTED_VALUE"""),"No job type data")</f>
        <v>No job type data</v>
      </c>
      <c r="L47" s="7" t="str">
        <f>IFERROR(__xludf.DUMMYFUNCTION("""COMPUTED_VALUE"""),"None")</f>
        <v>None</v>
      </c>
      <c r="M47" s="7"/>
      <c r="N47" s="7"/>
      <c r="O47" s="7"/>
    </row>
    <row r="48">
      <c r="A48" s="29">
        <f>IFERROR(__xludf.DUMMYFUNCTION("""COMPUTED_VALUE"""),44.0)</f>
        <v>44</v>
      </c>
      <c r="B48" s="7" t="str">
        <f>IFERROR(__xludf.DUMMYFUNCTION("""COMPUTED_VALUE"""),"vor 28 Tagen")</f>
        <v>vor 28 Tagen</v>
      </c>
      <c r="C48" s="7" t="str">
        <f>IFERROR(__xludf.DUMMYFUNCTION("""COMPUTED_VALUE"""),"Data Scientist (various levels)")</f>
        <v>Data Scientist (various levels)</v>
      </c>
      <c r="D48" s="7" t="str">
        <f>IFERROR(__xludf.DUMMYFUNCTION("""COMPUTED_VALUE"""),"Berlin")</f>
        <v>Berlin</v>
      </c>
      <c r="E48" s="7" t="str">
        <f>IFERROR(__xludf.DUMMYFUNCTION("""COMPUTED_VALUE"""),"Klarna")</f>
        <v>Klarna</v>
      </c>
      <c r="F48" s="7" t="str">
        <f>IFERROR(__xludf.DUMMYFUNCTION("""COMPUTED_VALUE"""),"None")</f>
        <v>None</v>
      </c>
      <c r="G48" s="7" t="str">
        <f>IFERROR(__xludf.DUMMYFUNCTION("""COMPUTED_VALUE"""),"No salary data")</f>
        <v>No salary data</v>
      </c>
      <c r="H48" s="7" t="str">
        <f>IFERROR(__xludf.DUMMYFUNCTION("""COMPUTED_VALUE"""),"No salary data")</f>
        <v>No salary data</v>
      </c>
      <c r="I48" s="7" t="str">
        <f>IFERROR(__xludf.DUMMYFUNCTION("""COMPUTED_VALUE"""),"No salary data")</f>
        <v>No salary data</v>
      </c>
      <c r="J48" s="7" t="str">
        <f>IFERROR(__xludf.DUMMYFUNCTION("""COMPUTED_VALUE"""),"Python, SQL, Machine Learning, Deep Learning, Statistic")</f>
        <v>Python, SQL, Machine Learning, Deep Learning, Statistic</v>
      </c>
      <c r="K48" s="7" t="str">
        <f>IFERROR(__xludf.DUMMYFUNCTION("""COMPUTED_VALUE"""),"No job type data")</f>
        <v>No job type data</v>
      </c>
      <c r="L48" s="7" t="str">
        <f>IFERROR(__xludf.DUMMYFUNCTION("""COMPUTED_VALUE"""),"None")</f>
        <v>None</v>
      </c>
      <c r="M48" s="7"/>
      <c r="N48" s="7"/>
      <c r="O48" s="7"/>
    </row>
    <row r="49">
      <c r="A49" s="29">
        <f>IFERROR(__xludf.DUMMYFUNCTION("""COMPUTED_VALUE"""),45.0)</f>
        <v>45</v>
      </c>
      <c r="B49" s="7" t="str">
        <f>IFERROR(__xludf.DUMMYFUNCTION("""COMPUTED_VALUE"""),"vor 10 Tagen")</f>
        <v>vor 10 Tagen</v>
      </c>
      <c r="C49" s="7" t="str">
        <f>IFERROR(__xludf.DUMMYFUNCTION("""COMPUTED_VALUE"""),"Working Student (f/m/d) Visual Analytics in Business Intelli...")</f>
        <v>Working Student (f/m/d) Visual Analytics in Business Intelli...</v>
      </c>
      <c r="D49" s="7" t="str">
        <f>IFERROR(__xludf.DUMMYFUNCTION("""COMPUTED_VALUE"""),"München")</f>
        <v>München</v>
      </c>
      <c r="E49" s="7" t="str">
        <f>IFERROR(__xludf.DUMMYFUNCTION("""COMPUTED_VALUE"""),"Siemens AG")</f>
        <v>Siemens AG</v>
      </c>
      <c r="F49" s="7" t="str">
        <f>IFERROR(__xludf.DUMMYFUNCTION("""COMPUTED_VALUE"""),"None")</f>
        <v>None</v>
      </c>
      <c r="G49" s="7" t="str">
        <f>IFERROR(__xludf.DUMMYFUNCTION("""COMPUTED_VALUE"""),"No salary data")</f>
        <v>No salary data</v>
      </c>
      <c r="H49" s="7" t="str">
        <f>IFERROR(__xludf.DUMMYFUNCTION("""COMPUTED_VALUE"""),"No salary data")</f>
        <v>No salary data</v>
      </c>
      <c r="I49" s="7" t="str">
        <f>IFERROR(__xludf.DUMMYFUNCTION("""COMPUTED_VALUE"""),"No salary data")</f>
        <v>No salary data</v>
      </c>
      <c r="J49" s="7" t="str">
        <f>IFERROR(__xludf.DUMMYFUNCTION("""COMPUTED_VALUE"""),"SQL, Tableau, Excel")</f>
        <v>SQL, Tableau, Excel</v>
      </c>
      <c r="K49" s="7" t="str">
        <f>IFERROR(__xludf.DUMMYFUNCTION("""COMPUTED_VALUE"""),"Part Time")</f>
        <v>Part Time</v>
      </c>
      <c r="L49" s="7" t="str">
        <f>IFERROR(__xludf.DUMMYFUNCTION("""COMPUTED_VALUE"""),"4,0")</f>
        <v>4,0</v>
      </c>
      <c r="M49" s="7"/>
      <c r="N49" s="7"/>
      <c r="O49" s="7"/>
    </row>
    <row r="50">
      <c r="A50" s="29">
        <f>IFERROR(__xludf.DUMMYFUNCTION("""COMPUTED_VALUE"""),46.0)</f>
        <v>46</v>
      </c>
      <c r="B50" s="7" t="str">
        <f>IFERROR(__xludf.DUMMYFUNCTION("""COMPUTED_VALUE"""),"Gerade geschaltet")</f>
        <v>Gerade geschaltet</v>
      </c>
      <c r="C50" s="7" t="str">
        <f>IFERROR(__xludf.DUMMYFUNCTION("""COMPUTED_VALUE"""),"Data Engineer Hotels &amp; Resorts (m/f/d)")</f>
        <v>Data Engineer Hotels &amp; Resorts (m/f/d)</v>
      </c>
      <c r="D50" s="7" t="str">
        <f>IFERROR(__xludf.DUMMYFUNCTION("""COMPUTED_VALUE"""),"Hannover")</f>
        <v>Hannover</v>
      </c>
      <c r="E50" s="7" t="str">
        <f>IFERROR(__xludf.DUMMYFUNCTION("""COMPUTED_VALUE"""),"TUI InfoTec GmbH")</f>
        <v>TUI InfoTec GmbH</v>
      </c>
      <c r="F50" s="7" t="str">
        <f>IFERROR(__xludf.DUMMYFUNCTION("""COMPUTED_VALUE"""),"None")</f>
        <v>None</v>
      </c>
      <c r="G50" s="7" t="str">
        <f>IFERROR(__xludf.DUMMYFUNCTION("""COMPUTED_VALUE"""),"No salary data")</f>
        <v>No salary data</v>
      </c>
      <c r="H50" s="7" t="str">
        <f>IFERROR(__xludf.DUMMYFUNCTION("""COMPUTED_VALUE"""),"No salary data")</f>
        <v>No salary data</v>
      </c>
      <c r="I50" s="7" t="str">
        <f>IFERROR(__xludf.DUMMYFUNCTION("""COMPUTED_VALUE"""),"No salary data")</f>
        <v>No salary data</v>
      </c>
      <c r="J50" s="7" t="str">
        <f>IFERROR(__xludf.DUMMYFUNCTION("""COMPUTED_VALUE"""),"SQL, Agile")</f>
        <v>SQL, Agile</v>
      </c>
      <c r="K50" s="7" t="str">
        <f>IFERROR(__xludf.DUMMYFUNCTION("""COMPUTED_VALUE"""),"No job type data")</f>
        <v>No job type data</v>
      </c>
      <c r="L50" s="7" t="str">
        <f>IFERROR(__xludf.DUMMYFUNCTION("""COMPUTED_VALUE"""),"3,8")</f>
        <v>3,8</v>
      </c>
      <c r="M50" s="7"/>
      <c r="N50" s="7"/>
      <c r="O50" s="7"/>
    </row>
    <row r="51">
      <c r="A51" s="29">
        <f>IFERROR(__xludf.DUMMYFUNCTION("""COMPUTED_VALUE"""),47.0)</f>
        <v>47</v>
      </c>
      <c r="B51" s="7" t="str">
        <f>IFERROR(__xludf.DUMMYFUNCTION("""COMPUTED_VALUE"""),"Vor mehr als 30 Tagen")</f>
        <v>Vor mehr als 30 Tagen</v>
      </c>
      <c r="C51" s="7" t="str">
        <f>IFERROR(__xludf.DUMMYFUNCTION("""COMPUTED_VALUE"""),"Junior Data Analyst m/w/d")</f>
        <v>Junior Data Analyst m/w/d</v>
      </c>
      <c r="D51" s="7" t="str">
        <f>IFERROR(__xludf.DUMMYFUNCTION("""COMPUTED_VALUE"""),"Stephanskirchen")</f>
        <v>Stephanskirchen</v>
      </c>
      <c r="E51" s="7" t="str">
        <f>IFERROR(__xludf.DUMMYFUNCTION("""COMPUTED_VALUE"""),"Marc O'Polo")</f>
        <v>Marc O'Polo</v>
      </c>
      <c r="F51" s="7" t="str">
        <f>IFERROR(__xludf.DUMMYFUNCTION("""COMPUTED_VALUE"""),"None")</f>
        <v>None</v>
      </c>
      <c r="G51" s="7" t="str">
        <f>IFERROR(__xludf.DUMMYFUNCTION("""COMPUTED_VALUE"""),"No salary data")</f>
        <v>No salary data</v>
      </c>
      <c r="H51" s="7" t="str">
        <f>IFERROR(__xludf.DUMMYFUNCTION("""COMPUTED_VALUE"""),"No salary data")</f>
        <v>No salary data</v>
      </c>
      <c r="I51" s="7" t="str">
        <f>IFERROR(__xludf.DUMMYFUNCTION("""COMPUTED_VALUE"""),"No salary data")</f>
        <v>No salary data</v>
      </c>
      <c r="J51" s="7" t="str">
        <f>IFERROR(__xludf.DUMMYFUNCTION("""COMPUTED_VALUE"""),"SQL")</f>
        <v>SQL</v>
      </c>
      <c r="K51" s="7" t="str">
        <f>IFERROR(__xludf.DUMMYFUNCTION("""COMPUTED_VALUE"""),"No job type data")</f>
        <v>No job type data</v>
      </c>
      <c r="L51" s="7" t="str">
        <f>IFERROR(__xludf.DUMMYFUNCTION("""COMPUTED_VALUE"""),"3,4")</f>
        <v>3,4</v>
      </c>
      <c r="M51" s="7"/>
      <c r="N51" s="7"/>
      <c r="O51" s="7"/>
    </row>
    <row r="52">
      <c r="A52" s="29">
        <f>IFERROR(__xludf.DUMMYFUNCTION("""COMPUTED_VALUE"""),48.0)</f>
        <v>48</v>
      </c>
      <c r="B52" s="7" t="str">
        <f>IFERROR(__xludf.DUMMYFUNCTION("""COMPUTED_VALUE"""),"vor 5 Tagen")</f>
        <v>vor 5 Tagen</v>
      </c>
      <c r="C52" s="7" t="str">
        <f>IFERROR(__xludf.DUMMYFUNCTION("""COMPUTED_VALUE"""),"Junior Business Intelligence Data Analyst (m/w/d)")</f>
        <v>Junior Business Intelligence Data Analyst (m/w/d)</v>
      </c>
      <c r="D52" s="7" t="str">
        <f>IFERROR(__xludf.DUMMYFUNCTION("""COMPUTED_VALUE"""),"Dresden")</f>
        <v>Dresden</v>
      </c>
      <c r="E52" s="7" t="str">
        <f>IFERROR(__xludf.DUMMYFUNCTION("""COMPUTED_VALUE"""),"Bike24")</f>
        <v>Bike24</v>
      </c>
      <c r="F52" s="7" t="str">
        <f>IFERROR(__xludf.DUMMYFUNCTION("""COMPUTED_VALUE"""),"None")</f>
        <v>None</v>
      </c>
      <c r="G52" s="7" t="str">
        <f>IFERROR(__xludf.DUMMYFUNCTION("""COMPUTED_VALUE"""),"No salary data")</f>
        <v>No salary data</v>
      </c>
      <c r="H52" s="7" t="str">
        <f>IFERROR(__xludf.DUMMYFUNCTION("""COMPUTED_VALUE"""),"No salary data")</f>
        <v>No salary data</v>
      </c>
      <c r="I52" s="7" t="str">
        <f>IFERROR(__xludf.DUMMYFUNCTION("""COMPUTED_VALUE"""),"No salary data")</f>
        <v>No salary data</v>
      </c>
      <c r="J52" s="7" t="str">
        <f>IFERROR(__xludf.DUMMYFUNCTION("""COMPUTED_VALUE"""),"SQL, Tableau")</f>
        <v>SQL, Tableau</v>
      </c>
      <c r="K52" s="7" t="str">
        <f>IFERROR(__xludf.DUMMYFUNCTION("""COMPUTED_VALUE"""),"No job type data")</f>
        <v>No job type data</v>
      </c>
      <c r="L52" s="7" t="str">
        <f>IFERROR(__xludf.DUMMYFUNCTION("""COMPUTED_VALUE"""),"None")</f>
        <v>None</v>
      </c>
      <c r="M52" s="7"/>
      <c r="N52" s="7"/>
      <c r="O52" s="7"/>
    </row>
    <row r="53">
      <c r="A53" s="29">
        <f>IFERROR(__xludf.DUMMYFUNCTION("""COMPUTED_VALUE"""),49.0)</f>
        <v>49</v>
      </c>
      <c r="B53" s="7" t="str">
        <f>IFERROR(__xludf.DUMMYFUNCTION("""COMPUTED_VALUE"""),"vor 26 Tagen")</f>
        <v>vor 26 Tagen</v>
      </c>
      <c r="C53" s="7" t="str">
        <f>IFERROR(__xludf.DUMMYFUNCTION("""COMPUTED_VALUE"""),"Praktikant (m/w/d) im Bereich Data Science/Data Engineering...")</f>
        <v>Praktikant (m/w/d) im Bereich Data Science/Data Engineering...</v>
      </c>
      <c r="D53" s="7" t="str">
        <f>IFERROR(__xludf.DUMMYFUNCTION("""COMPUTED_VALUE"""),"Düsseldorf")</f>
        <v>Düsseldorf</v>
      </c>
      <c r="E53" s="7" t="str">
        <f>IFERROR(__xludf.DUMMYFUNCTION("""COMPUTED_VALUE"""),"Vodafone")</f>
        <v>Vodafone</v>
      </c>
      <c r="F53" s="7" t="str">
        <f>IFERROR(__xludf.DUMMYFUNCTION("""COMPUTED_VALUE"""),"None")</f>
        <v>None</v>
      </c>
      <c r="G53" s="7" t="str">
        <f>IFERROR(__xludf.DUMMYFUNCTION("""COMPUTED_VALUE"""),"No salary data")</f>
        <v>No salary data</v>
      </c>
      <c r="H53" s="7" t="str">
        <f>IFERROR(__xludf.DUMMYFUNCTION("""COMPUTED_VALUE"""),"No salary data")</f>
        <v>No salary data</v>
      </c>
      <c r="I53" s="7" t="str">
        <f>IFERROR(__xludf.DUMMYFUNCTION("""COMPUTED_VALUE"""),"No salary data")</f>
        <v>No salary data</v>
      </c>
      <c r="J53" s="7" t="str">
        <f>IFERROR(__xludf.DUMMYFUNCTION("""COMPUTED_VALUE"""),"Python, SQL, Tableau, Excel, Git")</f>
        <v>Python, SQL, Tableau, Excel, Git</v>
      </c>
      <c r="K53" s="7" t="str">
        <f>IFERROR(__xludf.DUMMYFUNCTION("""COMPUTED_VALUE"""),"No job type data")</f>
        <v>No job type data</v>
      </c>
      <c r="L53" s="7" t="str">
        <f>IFERROR(__xludf.DUMMYFUNCTION("""COMPUTED_VALUE"""),"3,9")</f>
        <v>3,9</v>
      </c>
      <c r="M53" s="7"/>
      <c r="N53" s="7"/>
      <c r="O53" s="7"/>
    </row>
    <row r="54">
      <c r="A54" s="29">
        <f>IFERROR(__xludf.DUMMYFUNCTION("""COMPUTED_VALUE"""),50.0)</f>
        <v>50</v>
      </c>
      <c r="B54" s="7" t="str">
        <f>IFERROR(__xludf.DUMMYFUNCTION("""COMPUTED_VALUE"""),"vor 7 Tagen")</f>
        <v>vor 7 Tagen</v>
      </c>
      <c r="C54" s="7" t="str">
        <f>IFERROR(__xludf.DUMMYFUNCTION("""COMPUTED_VALUE"""),"Mandatory Internship (m/f/d) Data/ Business Intelligence")</f>
        <v>Mandatory Internship (m/f/d) Data/ Business Intelligence</v>
      </c>
      <c r="D54" s="7" t="str">
        <f>IFERROR(__xludf.DUMMYFUNCTION("""COMPUTED_VALUE"""),"Berlin")</f>
        <v>Berlin</v>
      </c>
      <c r="E54" s="7" t="str">
        <f>IFERROR(__xludf.DUMMYFUNCTION("""COMPUTED_VALUE"""),"TeamViewer Global")</f>
        <v>TeamViewer Global</v>
      </c>
      <c r="F54" s="7" t="str">
        <f>IFERROR(__xludf.DUMMYFUNCTION("""COMPUTED_VALUE"""),"None")</f>
        <v>None</v>
      </c>
      <c r="G54" s="7" t="str">
        <f>IFERROR(__xludf.DUMMYFUNCTION("""COMPUTED_VALUE"""),"No salary data")</f>
        <v>No salary data</v>
      </c>
      <c r="H54" s="7" t="str">
        <f>IFERROR(__xludf.DUMMYFUNCTION("""COMPUTED_VALUE"""),"No salary data")</f>
        <v>No salary data</v>
      </c>
      <c r="I54" s="7" t="str">
        <f>IFERROR(__xludf.DUMMYFUNCTION("""COMPUTED_VALUE"""),"No salary data")</f>
        <v>No salary data</v>
      </c>
      <c r="J54" s="7" t="str">
        <f>IFERROR(__xludf.DUMMYFUNCTION("""COMPUTED_VALUE"""),"Python, SQL")</f>
        <v>Python, SQL</v>
      </c>
      <c r="K54" s="7" t="str">
        <f>IFERROR(__xludf.DUMMYFUNCTION("""COMPUTED_VALUE"""),"Internship")</f>
        <v>Internship</v>
      </c>
      <c r="L54" s="7" t="str">
        <f>IFERROR(__xludf.DUMMYFUNCTION("""COMPUTED_VALUE"""),"3,5")</f>
        <v>3,5</v>
      </c>
      <c r="M54" s="7"/>
      <c r="N54" s="7"/>
      <c r="O54" s="7"/>
    </row>
    <row r="55">
      <c r="A55" s="29">
        <f>IFERROR(__xludf.DUMMYFUNCTION("""COMPUTED_VALUE"""),51.0)</f>
        <v>51</v>
      </c>
      <c r="B55" s="7" t="str">
        <f>IFERROR(__xludf.DUMMYFUNCTION("""COMPUTED_VALUE"""),"vor 23 Tagen")</f>
        <v>vor 23 Tagen</v>
      </c>
      <c r="C55" s="7" t="str">
        <f>IFERROR(__xludf.DUMMYFUNCTION("""COMPUTED_VALUE"""),"Mastercard Advisors Consulting, Data &amp; Services (Relaunch Yo...")</f>
        <v>Mastercard Advisors Consulting, Data &amp; Services (Relaunch Yo...</v>
      </c>
      <c r="D55" s="7" t="str">
        <f>IFERROR(__xludf.DUMMYFUNCTION("""COMPUTED_VALUE"""),"Frankfurt am Main")</f>
        <v>Frankfurt am Main</v>
      </c>
      <c r="E55" s="7" t="str">
        <f>IFERROR(__xludf.DUMMYFUNCTION("""COMPUTED_VALUE"""),"MasterCard")</f>
        <v>MasterCard</v>
      </c>
      <c r="F55" s="7" t="str">
        <f>IFERROR(__xludf.DUMMYFUNCTION("""COMPUTED_VALUE"""),"None")</f>
        <v>None</v>
      </c>
      <c r="G55" s="7" t="str">
        <f>IFERROR(__xludf.DUMMYFUNCTION("""COMPUTED_VALUE"""),"No salary data")</f>
        <v>No salary data</v>
      </c>
      <c r="H55" s="7" t="str">
        <f>IFERROR(__xludf.DUMMYFUNCTION("""COMPUTED_VALUE"""),"No salary data")</f>
        <v>No salary data</v>
      </c>
      <c r="I55" s="7" t="str">
        <f>IFERROR(__xludf.DUMMYFUNCTION("""COMPUTED_VALUE"""),"No salary data")</f>
        <v>No salary data</v>
      </c>
      <c r="J55" s="7" t="str">
        <f>IFERROR(__xludf.DUMMYFUNCTION("""COMPUTED_VALUE"""),"SQL, Excel, Git, Agile")</f>
        <v>SQL, Excel, Git, Agile</v>
      </c>
      <c r="K55" s="7" t="str">
        <f>IFERROR(__xludf.DUMMYFUNCTION("""COMPUTED_VALUE"""),"Permanent")</f>
        <v>Permanent</v>
      </c>
      <c r="L55" s="7" t="str">
        <f>IFERROR(__xludf.DUMMYFUNCTION("""COMPUTED_VALUE"""),"None")</f>
        <v>None</v>
      </c>
      <c r="M55" s="7"/>
      <c r="N55" s="7"/>
      <c r="O55" s="7"/>
    </row>
    <row r="56">
      <c r="A56" s="29">
        <f>IFERROR(__xludf.DUMMYFUNCTION("""COMPUTED_VALUE"""),52.0)</f>
        <v>52</v>
      </c>
      <c r="B56" s="7" t="str">
        <f>IFERROR(__xludf.DUMMYFUNCTION("""COMPUTED_VALUE"""),"Vor mehr als 30 Tagen")</f>
        <v>Vor mehr als 30 Tagen</v>
      </c>
      <c r="C56" s="7" t="str">
        <f>IFERROR(__xludf.DUMMYFUNCTION("""COMPUTED_VALUE"""),"Graduate Program Data &amp; Analytics")</f>
        <v>Graduate Program Data &amp; Analytics</v>
      </c>
      <c r="D56" s="7" t="str">
        <f>IFERROR(__xludf.DUMMYFUNCTION("""COMPUTED_VALUE"""),"Deutschland")</f>
        <v>Deutschland</v>
      </c>
      <c r="E56" s="7" t="str">
        <f>IFERROR(__xludf.DUMMYFUNCTION("""COMPUTED_VALUE"""),"Steria")</f>
        <v>Steria</v>
      </c>
      <c r="F56" s="7" t="str">
        <f>IFERROR(__xludf.DUMMYFUNCTION("""COMPUTED_VALUE"""),"None")</f>
        <v>None</v>
      </c>
      <c r="G56" s="7" t="str">
        <f>IFERROR(__xludf.DUMMYFUNCTION("""COMPUTED_VALUE"""),"No salary data")</f>
        <v>No salary data</v>
      </c>
      <c r="H56" s="7" t="str">
        <f>IFERROR(__xludf.DUMMYFUNCTION("""COMPUTED_VALUE"""),"No salary data")</f>
        <v>No salary data</v>
      </c>
      <c r="I56" s="7" t="str">
        <f>IFERROR(__xludf.DUMMYFUNCTION("""COMPUTED_VALUE"""),"No salary data")</f>
        <v>No salary data</v>
      </c>
      <c r="J56" s="7" t="str">
        <f>IFERROR(__xludf.DUMMYFUNCTION("""COMPUTED_VALUE"""),"SQL, Git")</f>
        <v>SQL, Git</v>
      </c>
      <c r="K56" s="7" t="str">
        <f>IFERROR(__xludf.DUMMYFUNCTION("""COMPUTED_VALUE"""),"No job type data")</f>
        <v>No job type data</v>
      </c>
      <c r="L56" s="7" t="str">
        <f>IFERROR(__xludf.DUMMYFUNCTION("""COMPUTED_VALUE"""),"3,5")</f>
        <v>3,5</v>
      </c>
      <c r="M56" s="7"/>
      <c r="N56" s="7"/>
      <c r="O56" s="7"/>
    </row>
    <row r="57">
      <c r="A57" s="29">
        <f>IFERROR(__xludf.DUMMYFUNCTION("""COMPUTED_VALUE"""),53.0)</f>
        <v>53</v>
      </c>
      <c r="B57" s="7" t="str">
        <f>IFERROR(__xludf.DUMMYFUNCTION("""COMPUTED_VALUE"""),"vor 6 Tagen")</f>
        <v>vor 6 Tagen</v>
      </c>
      <c r="C57" s="7" t="str">
        <f>IFERROR(__xludf.DUMMYFUNCTION("""COMPUTED_VALUE"""),"Student Job: Computer Science (f/m/div)*")</f>
        <v>Student Job: Computer Science (f/m/div)*</v>
      </c>
      <c r="D57" s="7" t="str">
        <f>IFERROR(__xludf.DUMMYFUNCTION("""COMPUTED_VALUE"""),"München")</f>
        <v>München</v>
      </c>
      <c r="E57" s="7" t="str">
        <f>IFERROR(__xludf.DUMMYFUNCTION("""COMPUTED_VALUE"""),"Infineon Technologies")</f>
        <v>Infineon Technologies</v>
      </c>
      <c r="F57" s="7" t="str">
        <f>IFERROR(__xludf.DUMMYFUNCTION("""COMPUTED_VALUE"""),"None")</f>
        <v>None</v>
      </c>
      <c r="G57" s="7" t="str">
        <f>IFERROR(__xludf.DUMMYFUNCTION("""COMPUTED_VALUE"""),"No salary data")</f>
        <v>No salary data</v>
      </c>
      <c r="H57" s="7" t="str">
        <f>IFERROR(__xludf.DUMMYFUNCTION("""COMPUTED_VALUE"""),"No salary data")</f>
        <v>No salary data</v>
      </c>
      <c r="I57" s="7" t="str">
        <f>IFERROR(__xludf.DUMMYFUNCTION("""COMPUTED_VALUE"""),"No salary data")</f>
        <v>No salary data</v>
      </c>
      <c r="J57" s="7" t="str">
        <f>IFERROR(__xludf.DUMMYFUNCTION("""COMPUTED_VALUE"""),"Python, Tableau, Excel")</f>
        <v>Python, Tableau, Excel</v>
      </c>
      <c r="K57" s="7" t="str">
        <f>IFERROR(__xludf.DUMMYFUNCTION("""COMPUTED_VALUE"""),"No job type data")</f>
        <v>No job type data</v>
      </c>
      <c r="L57" s="7" t="str">
        <f>IFERROR(__xludf.DUMMYFUNCTION("""COMPUTED_VALUE"""),"4,0")</f>
        <v>4,0</v>
      </c>
      <c r="M57" s="7"/>
      <c r="N57" s="7"/>
      <c r="O57" s="7"/>
    </row>
    <row r="58">
      <c r="A58" s="29">
        <f>IFERROR(__xludf.DUMMYFUNCTION("""COMPUTED_VALUE"""),54.0)</f>
        <v>54</v>
      </c>
      <c r="B58" s="7" t="str">
        <f>IFERROR(__xludf.DUMMYFUNCTION("""COMPUTED_VALUE"""),"Vor mehr als 30 Tagen")</f>
        <v>Vor mehr als 30 Tagen</v>
      </c>
      <c r="C58" s="7" t="str">
        <f>IFERROR(__xludf.DUMMYFUNCTION("""COMPUTED_VALUE"""),"Praktikant Business Intelligence/Data Analytics (m/w/d)")</f>
        <v>Praktikant Business Intelligence/Data Analytics (m/w/d)</v>
      </c>
      <c r="D58" s="7" t="str">
        <f>IFERROR(__xludf.DUMMYFUNCTION("""COMPUTED_VALUE"""),"Hamburg")</f>
        <v>Hamburg</v>
      </c>
      <c r="E58" s="7" t="str">
        <f>IFERROR(__xludf.DUMMYFUNCTION("""COMPUTED_VALUE"""),"Voya GmbH")</f>
        <v>Voya GmbH</v>
      </c>
      <c r="F58" s="7" t="str">
        <f>IFERROR(__xludf.DUMMYFUNCTION("""COMPUTED_VALUE"""),"None")</f>
        <v>None</v>
      </c>
      <c r="G58" s="7" t="str">
        <f>IFERROR(__xludf.DUMMYFUNCTION("""COMPUTED_VALUE"""),"No salary data")</f>
        <v>No salary data</v>
      </c>
      <c r="H58" s="7" t="str">
        <f>IFERROR(__xludf.DUMMYFUNCTION("""COMPUTED_VALUE"""),"No salary data")</f>
        <v>No salary data</v>
      </c>
      <c r="I58" s="7" t="str">
        <f>IFERROR(__xludf.DUMMYFUNCTION("""COMPUTED_VALUE"""),"No salary data")</f>
        <v>No salary data</v>
      </c>
      <c r="J58" s="7" t="str">
        <f>IFERROR(__xludf.DUMMYFUNCTION("""COMPUTED_VALUE"""),"SQL, Git")</f>
        <v>SQL, Git</v>
      </c>
      <c r="K58" s="7" t="str">
        <f>IFERROR(__xludf.DUMMYFUNCTION("""COMPUTED_VALUE"""),"No job type data")</f>
        <v>No job type data</v>
      </c>
      <c r="L58" s="7" t="str">
        <f>IFERROR(__xludf.DUMMYFUNCTION("""COMPUTED_VALUE"""),"None")</f>
        <v>None</v>
      </c>
      <c r="M58" s="7"/>
      <c r="N58" s="7"/>
      <c r="O58" s="7"/>
    </row>
    <row r="59">
      <c r="A59" s="29">
        <f>IFERROR(__xludf.DUMMYFUNCTION("""COMPUTED_VALUE"""),55.0)</f>
        <v>55</v>
      </c>
      <c r="B59" s="7" t="str">
        <f>IFERROR(__xludf.DUMMYFUNCTION("""COMPUTED_VALUE"""),"vor 1 Tag")</f>
        <v>vor 1 Tag</v>
      </c>
      <c r="C59" s="7" t="str">
        <f>IFERROR(__xludf.DUMMYFUNCTION("""COMPUTED_VALUE"""),"Praktikant/Abschlussarbeit (m/w/d) Data Analytics (SoSe 21)")</f>
        <v>Praktikant/Abschlussarbeit (m/w/d) Data Analytics (SoSe 21)</v>
      </c>
      <c r="D59" s="7" t="str">
        <f>IFERROR(__xludf.DUMMYFUNCTION("""COMPUTED_VALUE"""),"Marktoberdorf")</f>
        <v>Marktoberdorf</v>
      </c>
      <c r="E59" s="7" t="str">
        <f>IFERROR(__xludf.DUMMYFUNCTION("""COMPUTED_VALUE"""),"AGCO")</f>
        <v>AGCO</v>
      </c>
      <c r="F59" s="7" t="str">
        <f>IFERROR(__xludf.DUMMYFUNCTION("""COMPUTED_VALUE"""),"None")</f>
        <v>None</v>
      </c>
      <c r="G59" s="7" t="str">
        <f>IFERROR(__xludf.DUMMYFUNCTION("""COMPUTED_VALUE"""),"No salary data")</f>
        <v>No salary data</v>
      </c>
      <c r="H59" s="7" t="str">
        <f>IFERROR(__xludf.DUMMYFUNCTION("""COMPUTED_VALUE"""),"No salary data")</f>
        <v>No salary data</v>
      </c>
      <c r="I59" s="7" t="str">
        <f>IFERROR(__xludf.DUMMYFUNCTION("""COMPUTED_VALUE"""),"No salary data")</f>
        <v>No salary data</v>
      </c>
      <c r="J59" s="7" t="str">
        <f>IFERROR(__xludf.DUMMYFUNCTION("""COMPUTED_VALUE"""),"Python, Tableau, Git")</f>
        <v>Python, Tableau, Git</v>
      </c>
      <c r="K59" s="7" t="str">
        <f>IFERROR(__xludf.DUMMYFUNCTION("""COMPUTED_VALUE"""),"No job type data")</f>
        <v>No job type data</v>
      </c>
      <c r="L59" s="7" t="str">
        <f>IFERROR(__xludf.DUMMYFUNCTION("""COMPUTED_VALUE"""),"3,8")</f>
        <v>3,8</v>
      </c>
      <c r="M59" s="7"/>
      <c r="N59" s="7"/>
      <c r="O59" s="7"/>
    </row>
    <row r="60">
      <c r="A60" s="29">
        <f>IFERROR(__xludf.DUMMYFUNCTION("""COMPUTED_VALUE"""),56.0)</f>
        <v>56</v>
      </c>
      <c r="B60" s="7" t="str">
        <f>IFERROR(__xludf.DUMMYFUNCTION("""COMPUTED_VALUE"""),"Vor mehr als 30 Tagen")</f>
        <v>Vor mehr als 30 Tagen</v>
      </c>
      <c r="C60" s="7" t="str">
        <f>IFERROR(__xludf.DUMMYFUNCTION("""COMPUTED_VALUE"""),"Analysis of EEG data for recognition of frustration levels")</f>
        <v>Analysis of EEG data for recognition of frustration levels</v>
      </c>
      <c r="D60" s="7" t="str">
        <f>IFERROR(__xludf.DUMMYFUNCTION("""COMPUTED_VALUE"""),"Braunschweig")</f>
        <v>Braunschweig</v>
      </c>
      <c r="E60" s="7" t="str">
        <f>IFERROR(__xludf.DUMMYFUNCTION("""COMPUTED_VALUE"""),"DLR - Deutsches Zentrum für Luft- und Raumfahrt")</f>
        <v>DLR - Deutsches Zentrum für Luft- und Raumfahrt</v>
      </c>
      <c r="F60" s="7" t="str">
        <f>IFERROR(__xludf.DUMMYFUNCTION("""COMPUTED_VALUE"""),"None")</f>
        <v>None</v>
      </c>
      <c r="G60" s="7" t="str">
        <f>IFERROR(__xludf.DUMMYFUNCTION("""COMPUTED_VALUE"""),"No salary data")</f>
        <v>No salary data</v>
      </c>
      <c r="H60" s="7" t="str">
        <f>IFERROR(__xludf.DUMMYFUNCTION("""COMPUTED_VALUE"""),"No salary data")</f>
        <v>No salary data</v>
      </c>
      <c r="I60" s="7" t="str">
        <f>IFERROR(__xludf.DUMMYFUNCTION("""COMPUTED_VALUE"""),"No salary data")</f>
        <v>No salary data</v>
      </c>
      <c r="J60" s="7" t="str">
        <f>IFERROR(__xludf.DUMMYFUNCTION("""COMPUTED_VALUE"""),"Python")</f>
        <v>Python</v>
      </c>
      <c r="K60" s="7" t="str">
        <f>IFERROR(__xludf.DUMMYFUNCTION("""COMPUTED_VALUE"""),"No job type data")</f>
        <v>No job type data</v>
      </c>
      <c r="L60" s="7" t="str">
        <f>IFERROR(__xludf.DUMMYFUNCTION("""COMPUTED_VALUE"""),"4,3")</f>
        <v>4,3</v>
      </c>
      <c r="M60" s="7"/>
      <c r="N60" s="7"/>
      <c r="O60" s="7"/>
    </row>
    <row r="61">
      <c r="A61" s="29">
        <f>IFERROR(__xludf.DUMMYFUNCTION("""COMPUTED_VALUE"""),57.0)</f>
        <v>57</v>
      </c>
      <c r="B61" s="7" t="str">
        <f>IFERROR(__xludf.DUMMYFUNCTION("""COMPUTED_VALUE"""),"Vor mehr als 30 Tagen")</f>
        <v>Vor mehr als 30 Tagen</v>
      </c>
      <c r="C61" s="7" t="str">
        <f>IFERROR(__xludf.DUMMYFUNCTION("""COMPUTED_VALUE"""),"Data Analyst (Business Intelligence) (m/w/d)")</f>
        <v>Data Analyst (Business Intelligence) (m/w/d)</v>
      </c>
      <c r="D61" s="7" t="str">
        <f>IFERROR(__xludf.DUMMYFUNCTION("""COMPUTED_VALUE"""),"Berlin")</f>
        <v>Berlin</v>
      </c>
      <c r="E61" s="7" t="str">
        <f>IFERROR(__xludf.DUMMYFUNCTION("""COMPUTED_VALUE"""),"atene KOM GmbH")</f>
        <v>atene KOM GmbH</v>
      </c>
      <c r="F61" s="7" t="str">
        <f>IFERROR(__xludf.DUMMYFUNCTION("""COMPUTED_VALUE"""),"None")</f>
        <v>None</v>
      </c>
      <c r="G61" s="7" t="str">
        <f>IFERROR(__xludf.DUMMYFUNCTION("""COMPUTED_VALUE"""),"No salary data")</f>
        <v>No salary data</v>
      </c>
      <c r="H61" s="7" t="str">
        <f>IFERROR(__xludf.DUMMYFUNCTION("""COMPUTED_VALUE"""),"No salary data")</f>
        <v>No salary data</v>
      </c>
      <c r="I61" s="7" t="str">
        <f>IFERROR(__xludf.DUMMYFUNCTION("""COMPUTED_VALUE"""),"No salary data")</f>
        <v>No salary data</v>
      </c>
      <c r="J61" s="7" t="str">
        <f>IFERROR(__xludf.DUMMYFUNCTION("""COMPUTED_VALUE"""),"Python, SQL, Tableau, Git")</f>
        <v>Python, SQL, Tableau, Git</v>
      </c>
      <c r="K61" s="7" t="str">
        <f>IFERROR(__xludf.DUMMYFUNCTION("""COMPUTED_VALUE"""),"No job type data")</f>
        <v>No job type data</v>
      </c>
      <c r="L61" s="7" t="str">
        <f>IFERROR(__xludf.DUMMYFUNCTION("""COMPUTED_VALUE"""),"None")</f>
        <v>None</v>
      </c>
      <c r="M61" s="7"/>
      <c r="N61" s="7"/>
      <c r="O61" s="7"/>
    </row>
    <row r="62">
      <c r="A62" s="29">
        <f>IFERROR(__xludf.DUMMYFUNCTION("""COMPUTED_VALUE"""),58.0)</f>
        <v>58</v>
      </c>
      <c r="B62" s="7" t="str">
        <f>IFERROR(__xludf.DUMMYFUNCTION("""COMPUTED_VALUE"""),"vor 19 Tagen")</f>
        <v>vor 19 Tagen</v>
      </c>
      <c r="C62" s="7" t="str">
        <f>IFERROR(__xludf.DUMMYFUNCTION("""COMPUTED_VALUE"""),"Business Intelligence Analyst")</f>
        <v>Business Intelligence Analyst</v>
      </c>
      <c r="D62" s="7" t="str">
        <f>IFERROR(__xludf.DUMMYFUNCTION("""COMPUTED_VALUE"""),"Frankfurt am Main")</f>
        <v>Frankfurt am Main</v>
      </c>
      <c r="E62" s="7" t="str">
        <f>IFERROR(__xludf.DUMMYFUNCTION("""COMPUTED_VALUE"""),"Bettzeit GmbH")</f>
        <v>Bettzeit GmbH</v>
      </c>
      <c r="F62" s="7" t="str">
        <f>IFERROR(__xludf.DUMMYFUNCTION("""COMPUTED_VALUE"""),"None")</f>
        <v>None</v>
      </c>
      <c r="G62" s="7" t="str">
        <f>IFERROR(__xludf.DUMMYFUNCTION("""COMPUTED_VALUE"""),"No salary data")</f>
        <v>No salary data</v>
      </c>
      <c r="H62" s="7" t="str">
        <f>IFERROR(__xludf.DUMMYFUNCTION("""COMPUTED_VALUE"""),"No salary data")</f>
        <v>No salary data</v>
      </c>
      <c r="I62" s="7" t="str">
        <f>IFERROR(__xludf.DUMMYFUNCTION("""COMPUTED_VALUE"""),"No salary data")</f>
        <v>No salary data</v>
      </c>
      <c r="J62" s="7" t="str">
        <f>IFERROR(__xludf.DUMMYFUNCTION("""COMPUTED_VALUE"""),"SQL, Tableau, Excel, Statistic")</f>
        <v>SQL, Tableau, Excel, Statistic</v>
      </c>
      <c r="K62" s="7" t="str">
        <f>IFERROR(__xludf.DUMMYFUNCTION("""COMPUTED_VALUE"""),"No job type data")</f>
        <v>No job type data</v>
      </c>
      <c r="L62" s="7" t="str">
        <f>IFERROR(__xludf.DUMMYFUNCTION("""COMPUTED_VALUE"""),"4,5")</f>
        <v>4,5</v>
      </c>
      <c r="M62" s="7"/>
      <c r="N62" s="7"/>
      <c r="O62" s="7"/>
    </row>
    <row r="63">
      <c r="A63" s="29">
        <f>IFERROR(__xludf.DUMMYFUNCTION("""COMPUTED_VALUE"""),59.0)</f>
        <v>59</v>
      </c>
      <c r="B63" s="7" t="str">
        <f>IFERROR(__xludf.DUMMYFUNCTION("""COMPUTED_VALUE"""),"vor 5 Tagen")</f>
        <v>vor 5 Tagen</v>
      </c>
      <c r="C63" s="7" t="str">
        <f>IFERROR(__xludf.DUMMYFUNCTION("""COMPUTED_VALUE"""),"Praktikant (m/w/d) im Bereich Business Intelligence, Data &amp;...")</f>
        <v>Praktikant (m/w/d) im Bereich Business Intelligence, Data &amp;...</v>
      </c>
      <c r="D63" s="7" t="str">
        <f>IFERROR(__xludf.DUMMYFUNCTION("""COMPUTED_VALUE"""),"Düsseldorf")</f>
        <v>Düsseldorf</v>
      </c>
      <c r="E63" s="7" t="str">
        <f>IFERROR(__xludf.DUMMYFUNCTION("""COMPUTED_VALUE"""),"Vodafone")</f>
        <v>Vodafone</v>
      </c>
      <c r="F63" s="7" t="str">
        <f>IFERROR(__xludf.DUMMYFUNCTION("""COMPUTED_VALUE"""),"None")</f>
        <v>None</v>
      </c>
      <c r="G63" s="7" t="str">
        <f>IFERROR(__xludf.DUMMYFUNCTION("""COMPUTED_VALUE"""),"No salary data")</f>
        <v>No salary data</v>
      </c>
      <c r="H63" s="7" t="str">
        <f>IFERROR(__xludf.DUMMYFUNCTION("""COMPUTED_VALUE"""),"No salary data")</f>
        <v>No salary data</v>
      </c>
      <c r="I63" s="7" t="str">
        <f>IFERROR(__xludf.DUMMYFUNCTION("""COMPUTED_VALUE"""),"No salary data")</f>
        <v>No salary data</v>
      </c>
      <c r="J63" s="7" t="str">
        <f>IFERROR(__xludf.DUMMYFUNCTION("""COMPUTED_VALUE"""),"Excel, Git, Jira")</f>
        <v>Excel, Git, Jira</v>
      </c>
      <c r="K63" s="7" t="str">
        <f>IFERROR(__xludf.DUMMYFUNCTION("""COMPUTED_VALUE"""),"No job type data")</f>
        <v>No job type data</v>
      </c>
      <c r="L63" s="7" t="str">
        <f>IFERROR(__xludf.DUMMYFUNCTION("""COMPUTED_VALUE"""),"3,9")</f>
        <v>3,9</v>
      </c>
      <c r="M63" s="7"/>
      <c r="N63" s="7"/>
      <c r="O63" s="7"/>
    </row>
    <row r="64">
      <c r="A64" s="29">
        <f>IFERROR(__xludf.DUMMYFUNCTION("""COMPUTED_VALUE"""),60.0)</f>
        <v>60</v>
      </c>
      <c r="B64" s="7" t="str">
        <f>IFERROR(__xludf.DUMMYFUNCTION("""COMPUTED_VALUE"""),"vor 19 Tagen")</f>
        <v>vor 19 Tagen</v>
      </c>
      <c r="C64" s="7" t="str">
        <f>IFERROR(__xludf.DUMMYFUNCTION("""COMPUTED_VALUE"""),"Internship Business Intelligence")</f>
        <v>Internship Business Intelligence</v>
      </c>
      <c r="D64" s="7" t="str">
        <f>IFERROR(__xludf.DUMMYFUNCTION("""COMPUTED_VALUE"""),"Frankfurt am Main")</f>
        <v>Frankfurt am Main</v>
      </c>
      <c r="E64" s="7" t="str">
        <f>IFERROR(__xludf.DUMMYFUNCTION("""COMPUTED_VALUE"""),"Bettzeit GmbH")</f>
        <v>Bettzeit GmbH</v>
      </c>
      <c r="F64" s="7" t="str">
        <f>IFERROR(__xludf.DUMMYFUNCTION("""COMPUTED_VALUE"""),"None")</f>
        <v>None</v>
      </c>
      <c r="G64" s="7" t="str">
        <f>IFERROR(__xludf.DUMMYFUNCTION("""COMPUTED_VALUE"""),"No salary data")</f>
        <v>No salary data</v>
      </c>
      <c r="H64" s="7" t="str">
        <f>IFERROR(__xludf.DUMMYFUNCTION("""COMPUTED_VALUE"""),"No salary data")</f>
        <v>No salary data</v>
      </c>
      <c r="I64" s="7" t="str">
        <f>IFERROR(__xludf.DUMMYFUNCTION("""COMPUTED_VALUE"""),"No salary data")</f>
        <v>No salary data</v>
      </c>
      <c r="J64" s="7" t="str">
        <f>IFERROR(__xludf.DUMMYFUNCTION("""COMPUTED_VALUE"""),"SQL, Tableau, Excel, Statistic")</f>
        <v>SQL, Tableau, Excel, Statistic</v>
      </c>
      <c r="K64" s="7" t="str">
        <f>IFERROR(__xludf.DUMMYFUNCTION("""COMPUTED_VALUE"""),"Internship")</f>
        <v>Internship</v>
      </c>
      <c r="L64" s="7" t="str">
        <f>IFERROR(__xludf.DUMMYFUNCTION("""COMPUTED_VALUE"""),"4,5")</f>
        <v>4,5</v>
      </c>
      <c r="M64" s="7"/>
      <c r="N64" s="7"/>
      <c r="O64" s="7"/>
    </row>
    <row r="65">
      <c r="A65" s="29">
        <f>IFERROR(__xludf.DUMMYFUNCTION("""COMPUTED_VALUE"""),61.0)</f>
        <v>61</v>
      </c>
      <c r="B65" s="7" t="str">
        <f>IFERROR(__xludf.DUMMYFUNCTION("""COMPUTED_VALUE"""),"Vor mehr als 30 Tagen")</f>
        <v>Vor mehr als 30 Tagen</v>
      </c>
      <c r="C65" s="7" t="str">
        <f>IFERROR(__xludf.DUMMYFUNCTION("""COMPUTED_VALUE"""),"Intern/Working Student Data Science / Business Analytics Con...")</f>
        <v>Intern/Working Student Data Science / Business Analytics Con...</v>
      </c>
      <c r="D65" s="7" t="str">
        <f>IFERROR(__xludf.DUMMYFUNCTION("""COMPUTED_VALUE"""),"München")</f>
        <v>München</v>
      </c>
      <c r="E65" s="7" t="str">
        <f>IFERROR(__xludf.DUMMYFUNCTION("""COMPUTED_VALUE"""),"Celonis SE")</f>
        <v>Celonis SE</v>
      </c>
      <c r="F65" s="7" t="str">
        <f>IFERROR(__xludf.DUMMYFUNCTION("""COMPUTED_VALUE"""),"None")</f>
        <v>None</v>
      </c>
      <c r="G65" s="7" t="str">
        <f>IFERROR(__xludf.DUMMYFUNCTION("""COMPUTED_VALUE"""),"No salary data")</f>
        <v>No salary data</v>
      </c>
      <c r="H65" s="7" t="str">
        <f>IFERROR(__xludf.DUMMYFUNCTION("""COMPUTED_VALUE"""),"No salary data")</f>
        <v>No salary data</v>
      </c>
      <c r="I65" s="7" t="str">
        <f>IFERROR(__xludf.DUMMYFUNCTION("""COMPUTED_VALUE"""),"No salary data")</f>
        <v>No salary data</v>
      </c>
      <c r="J65" s="7" t="str">
        <f>IFERROR(__xludf.DUMMYFUNCTION("""COMPUTED_VALUE"""),"SQL, Git")</f>
        <v>SQL, Git</v>
      </c>
      <c r="K65" s="7" t="str">
        <f>IFERROR(__xludf.DUMMYFUNCTION("""COMPUTED_VALUE"""),"Full-Time")</f>
        <v>Full-Time</v>
      </c>
      <c r="L65" s="7" t="str">
        <f>IFERROR(__xludf.DUMMYFUNCTION("""COMPUTED_VALUE"""),"4,3")</f>
        <v>4,3</v>
      </c>
      <c r="M65" s="7"/>
      <c r="N65" s="7"/>
      <c r="O65" s="7"/>
    </row>
    <row r="66">
      <c r="A66" s="29">
        <f>IFERROR(__xludf.DUMMYFUNCTION("""COMPUTED_VALUE"""),62.0)</f>
        <v>62</v>
      </c>
      <c r="B66" s="7" t="str">
        <f>IFERROR(__xludf.DUMMYFUNCTION("""COMPUTED_VALUE"""),"vor 5 Tagen")</f>
        <v>vor 5 Tagen</v>
      </c>
      <c r="C66" s="7" t="str">
        <f>IFERROR(__xludf.DUMMYFUNCTION("""COMPUTED_VALUE"""),"Data Analyst - Stuttgart, Germany")</f>
        <v>Data Analyst - Stuttgart, Germany</v>
      </c>
      <c r="D66" s="7" t="str">
        <f>IFERROR(__xludf.DUMMYFUNCTION("""COMPUTED_VALUE"""),"Stuttgart")</f>
        <v>Stuttgart</v>
      </c>
      <c r="E66" s="7" t="str">
        <f>IFERROR(__xludf.DUMMYFUNCTION("""COMPUTED_VALUE"""),"Occam Solutions")</f>
        <v>Occam Solutions</v>
      </c>
      <c r="F66" s="7" t="str">
        <f>IFERROR(__xludf.DUMMYFUNCTION("""COMPUTED_VALUE"""),"None")</f>
        <v>None</v>
      </c>
      <c r="G66" s="7" t="str">
        <f>IFERROR(__xludf.DUMMYFUNCTION("""COMPUTED_VALUE"""),"No salary data")</f>
        <v>No salary data</v>
      </c>
      <c r="H66" s="7" t="str">
        <f>IFERROR(__xludf.DUMMYFUNCTION("""COMPUTED_VALUE"""),"No salary data")</f>
        <v>No salary data</v>
      </c>
      <c r="I66" s="7" t="str">
        <f>IFERROR(__xludf.DUMMYFUNCTION("""COMPUTED_VALUE"""),"No salary data")</f>
        <v>No salary data</v>
      </c>
      <c r="J66" s="7" t="str">
        <f>IFERROR(__xludf.DUMMYFUNCTION("""COMPUTED_VALUE"""),"Python")</f>
        <v>Python</v>
      </c>
      <c r="K66" s="7" t="str">
        <f>IFERROR(__xludf.DUMMYFUNCTION("""COMPUTED_VALUE"""),"No job type data")</f>
        <v>No job type data</v>
      </c>
      <c r="L66" s="7" t="str">
        <f>IFERROR(__xludf.DUMMYFUNCTION("""COMPUTED_VALUE"""),"None")</f>
        <v>None</v>
      </c>
      <c r="M66" s="7"/>
      <c r="N66" s="7"/>
      <c r="O66" s="7"/>
    </row>
    <row r="67">
      <c r="A67" s="29">
        <f>IFERROR(__xludf.DUMMYFUNCTION("""COMPUTED_VALUE"""),63.0)</f>
        <v>63</v>
      </c>
      <c r="B67" s="7" t="str">
        <f>IFERROR(__xludf.DUMMYFUNCTION("""COMPUTED_VALUE"""),"Vor mehr als 30 Tagen")</f>
        <v>Vor mehr als 30 Tagen</v>
      </c>
      <c r="C67" s="7" t="str">
        <f>IFERROR(__xludf.DUMMYFUNCTION("""COMPUTED_VALUE"""),"Trainee Data Science (m/w/d)")</f>
        <v>Trainee Data Science (m/w/d)</v>
      </c>
      <c r="D67" s="7" t="str">
        <f>IFERROR(__xludf.DUMMYFUNCTION("""COMPUTED_VALUE"""),"Leipzig")</f>
        <v>Leipzig</v>
      </c>
      <c r="E67" s="7" t="str">
        <f>IFERROR(__xludf.DUMMYFUNCTION("""COMPUTED_VALUE"""),"AKKA TECHNOLOGIES")</f>
        <v>AKKA TECHNOLOGIES</v>
      </c>
      <c r="F67" s="7" t="str">
        <f>IFERROR(__xludf.DUMMYFUNCTION("""COMPUTED_VALUE"""),"None")</f>
        <v>None</v>
      </c>
      <c r="G67" s="7" t="str">
        <f>IFERROR(__xludf.DUMMYFUNCTION("""COMPUTED_VALUE"""),"No salary data")</f>
        <v>No salary data</v>
      </c>
      <c r="H67" s="7" t="str">
        <f>IFERROR(__xludf.DUMMYFUNCTION("""COMPUTED_VALUE"""),"No salary data")</f>
        <v>No salary data</v>
      </c>
      <c r="I67" s="7" t="str">
        <f>IFERROR(__xludf.DUMMYFUNCTION("""COMPUTED_VALUE"""),"No salary data")</f>
        <v>No salary data</v>
      </c>
      <c r="J67" s="7" t="str">
        <f>IFERROR(__xludf.DUMMYFUNCTION("""COMPUTED_VALUE"""),"Python, SQL, Tableau, Agile")</f>
        <v>Python, SQL, Tableau, Agile</v>
      </c>
      <c r="K67" s="7" t="str">
        <f>IFERROR(__xludf.DUMMYFUNCTION("""COMPUTED_VALUE"""),"No job type data")</f>
        <v>No job type data</v>
      </c>
      <c r="L67" s="7" t="str">
        <f>IFERROR(__xludf.DUMMYFUNCTION("""COMPUTED_VALUE"""),"3,1")</f>
        <v>3,1</v>
      </c>
      <c r="M67" s="7"/>
      <c r="N67" s="7"/>
      <c r="O67" s="7"/>
    </row>
    <row r="68">
      <c r="A68" s="29">
        <f>IFERROR(__xludf.DUMMYFUNCTION("""COMPUTED_VALUE"""),64.0)</f>
        <v>64</v>
      </c>
      <c r="B68" s="7" t="str">
        <f>IFERROR(__xludf.DUMMYFUNCTION("""COMPUTED_VALUE"""),"Vor mehr als 30 Tagen")</f>
        <v>Vor mehr als 30 Tagen</v>
      </c>
      <c r="C68" s="7" t="str">
        <f>IFERROR(__xludf.DUMMYFUNCTION("""COMPUTED_VALUE"""),"Praktikum - Softwareentwickler (m/w/d) Data Science")</f>
        <v>Praktikum - Softwareentwickler (m/w/d) Data Science</v>
      </c>
      <c r="D68" s="7" t="str">
        <f>IFERROR(__xludf.DUMMYFUNCTION("""COMPUTED_VALUE"""),"Böblingen")</f>
        <v>Böblingen</v>
      </c>
      <c r="E68" s="7" t="str">
        <f>IFERROR(__xludf.DUMMYFUNCTION("""COMPUTED_VALUE"""),"umlaut AG")</f>
        <v>umlaut AG</v>
      </c>
      <c r="F68" s="7" t="str">
        <f>IFERROR(__xludf.DUMMYFUNCTION("""COMPUTED_VALUE"""),"None")</f>
        <v>None</v>
      </c>
      <c r="G68" s="7" t="str">
        <f>IFERROR(__xludf.DUMMYFUNCTION("""COMPUTED_VALUE"""),"No salary data")</f>
        <v>No salary data</v>
      </c>
      <c r="H68" s="7" t="str">
        <f>IFERROR(__xludf.DUMMYFUNCTION("""COMPUTED_VALUE"""),"No salary data")</f>
        <v>No salary data</v>
      </c>
      <c r="I68" s="7" t="str">
        <f>IFERROR(__xludf.DUMMYFUNCTION("""COMPUTED_VALUE"""),"No salary data")</f>
        <v>No salary data</v>
      </c>
      <c r="J68" s="7" t="str">
        <f>IFERROR(__xludf.DUMMYFUNCTION("""COMPUTED_VALUE"""),"Python, SQL, Machine Learning")</f>
        <v>Python, SQL, Machine Learning</v>
      </c>
      <c r="K68" s="7" t="str">
        <f>IFERROR(__xludf.DUMMYFUNCTION("""COMPUTED_VALUE"""),"No job type data")</f>
        <v>No job type data</v>
      </c>
      <c r="L68" s="7" t="str">
        <f>IFERROR(__xludf.DUMMYFUNCTION("""COMPUTED_VALUE"""),"5,0")</f>
        <v>5,0</v>
      </c>
      <c r="M68" s="7"/>
      <c r="N68" s="7"/>
      <c r="O68" s="7"/>
    </row>
    <row r="69">
      <c r="A69" s="29">
        <f>IFERROR(__xludf.DUMMYFUNCTION("""COMPUTED_VALUE"""),65.0)</f>
        <v>65</v>
      </c>
      <c r="B69" s="7" t="str">
        <f>IFERROR(__xludf.DUMMYFUNCTION("""COMPUTED_VALUE"""),"vor 4 Tagen")</f>
        <v>vor 4 Tagen</v>
      </c>
      <c r="C69" s="7" t="str">
        <f>IFERROR(__xludf.DUMMYFUNCTION("""COMPUTED_VALUE"""),"Intern Strategy &amp; Data Consulting (m/f/div)")</f>
        <v>Intern Strategy &amp; Data Consulting (m/f/div)</v>
      </c>
      <c r="D69" s="7" t="str">
        <f>IFERROR(__xludf.DUMMYFUNCTION("""COMPUTED_VALUE"""),"Köln")</f>
        <v>Köln</v>
      </c>
      <c r="E69" s="7" t="str">
        <f>IFERROR(__xludf.DUMMYFUNCTION("""COMPUTED_VALUE"""),"Dept")</f>
        <v>Dept</v>
      </c>
      <c r="F69" s="7" t="str">
        <f>IFERROR(__xludf.DUMMYFUNCTION("""COMPUTED_VALUE"""),"None")</f>
        <v>None</v>
      </c>
      <c r="G69" s="7" t="str">
        <f>IFERROR(__xludf.DUMMYFUNCTION("""COMPUTED_VALUE"""),"No salary data")</f>
        <v>No salary data</v>
      </c>
      <c r="H69" s="7" t="str">
        <f>IFERROR(__xludf.DUMMYFUNCTION("""COMPUTED_VALUE"""),"No salary data")</f>
        <v>No salary data</v>
      </c>
      <c r="I69" s="7" t="str">
        <f>IFERROR(__xludf.DUMMYFUNCTION("""COMPUTED_VALUE"""),"No salary data")</f>
        <v>No salary data</v>
      </c>
      <c r="J69" s="7" t="str">
        <f>IFERROR(__xludf.DUMMYFUNCTION("""COMPUTED_VALUE"""),"Tableau, Excel, Git")</f>
        <v>Tableau, Excel, Git</v>
      </c>
      <c r="K69" s="7" t="str">
        <f>IFERROR(__xludf.DUMMYFUNCTION("""COMPUTED_VALUE"""),"No job type data")</f>
        <v>No job type data</v>
      </c>
      <c r="L69" s="7" t="str">
        <f>IFERROR(__xludf.DUMMYFUNCTION("""COMPUTED_VALUE"""),"None")</f>
        <v>None</v>
      </c>
      <c r="M69" s="7"/>
      <c r="N69" s="7"/>
      <c r="O69" s="7"/>
    </row>
    <row r="70">
      <c r="A70" s="29">
        <f>IFERROR(__xludf.DUMMYFUNCTION("""COMPUTED_VALUE"""),66.0)</f>
        <v>66</v>
      </c>
      <c r="B70" s="7" t="str">
        <f>IFERROR(__xludf.DUMMYFUNCTION("""COMPUTED_VALUE"""),"vor 3 Tagen")</f>
        <v>vor 3 Tagen</v>
      </c>
      <c r="C70" s="7" t="str">
        <f>IFERROR(__xludf.DUMMYFUNCTION("""COMPUTED_VALUE"""),"Data Analyst (m/w/d) R, R-Shiny, Python")</f>
        <v>Data Analyst (m/w/d) R, R-Shiny, Python</v>
      </c>
      <c r="D70" s="7" t="str">
        <f>IFERROR(__xludf.DUMMYFUNCTION("""COMPUTED_VALUE"""),"Hamburg")</f>
        <v>Hamburg</v>
      </c>
      <c r="E70" s="7" t="str">
        <f>IFERROR(__xludf.DUMMYFUNCTION("""COMPUTED_VALUE"""),"Bundesdruckerei")</f>
        <v>Bundesdruckerei</v>
      </c>
      <c r="F70" s="7" t="str">
        <f>IFERROR(__xludf.DUMMYFUNCTION("""COMPUTED_VALUE"""),"None")</f>
        <v>None</v>
      </c>
      <c r="G70" s="7" t="str">
        <f>IFERROR(__xludf.DUMMYFUNCTION("""COMPUTED_VALUE"""),"No salary data")</f>
        <v>No salary data</v>
      </c>
      <c r="H70" s="7" t="str">
        <f>IFERROR(__xludf.DUMMYFUNCTION("""COMPUTED_VALUE"""),"No salary data")</f>
        <v>No salary data</v>
      </c>
      <c r="I70" s="7" t="str">
        <f>IFERROR(__xludf.DUMMYFUNCTION("""COMPUTED_VALUE"""),"No salary data")</f>
        <v>No salary data</v>
      </c>
      <c r="J70" s="7" t="str">
        <f>IFERROR(__xludf.DUMMYFUNCTION("""COMPUTED_VALUE"""),"Python, Tableau, Git, Agile, Scrum")</f>
        <v>Python, Tableau, Git, Agile, Scrum</v>
      </c>
      <c r="K70" s="7" t="str">
        <f>IFERROR(__xludf.DUMMYFUNCTION("""COMPUTED_VALUE"""),"No job type data")</f>
        <v>No job type data</v>
      </c>
      <c r="L70" s="7" t="str">
        <f>IFERROR(__xludf.DUMMYFUNCTION("""COMPUTED_VALUE"""),"None")</f>
        <v>None</v>
      </c>
      <c r="M70" s="7"/>
      <c r="N70" s="7"/>
      <c r="O70" s="7"/>
    </row>
    <row r="71">
      <c r="A71" s="29">
        <f>IFERROR(__xludf.DUMMYFUNCTION("""COMPUTED_VALUE"""),67.0)</f>
        <v>67</v>
      </c>
      <c r="B71" s="7" t="str">
        <f>IFERROR(__xludf.DUMMYFUNCTION("""COMPUTED_VALUE"""),"vor 5 Tagen")</f>
        <v>vor 5 Tagen</v>
      </c>
      <c r="C71" s="7" t="str">
        <f>IFERROR(__xludf.DUMMYFUNCTION("""COMPUTED_VALUE"""),"Data Analyst (f/m/d) - Investment Data &amp; Technology")</f>
        <v>Data Analyst (f/m/d) - Investment Data &amp; Technology</v>
      </c>
      <c r="D71" s="7" t="str">
        <f>IFERROR(__xludf.DUMMYFUNCTION("""COMPUTED_VALUE"""),"Frankfurt am Main")</f>
        <v>Frankfurt am Main</v>
      </c>
      <c r="E71" s="7" t="str">
        <f>IFERROR(__xludf.DUMMYFUNCTION("""COMPUTED_VALUE"""),"Allianz Global Investors")</f>
        <v>Allianz Global Investors</v>
      </c>
      <c r="F71" s="7" t="str">
        <f>IFERROR(__xludf.DUMMYFUNCTION("""COMPUTED_VALUE"""),"None")</f>
        <v>None</v>
      </c>
      <c r="G71" s="7" t="str">
        <f>IFERROR(__xludf.DUMMYFUNCTION("""COMPUTED_VALUE"""),"No salary data")</f>
        <v>No salary data</v>
      </c>
      <c r="H71" s="7" t="str">
        <f>IFERROR(__xludf.DUMMYFUNCTION("""COMPUTED_VALUE"""),"No salary data")</f>
        <v>No salary data</v>
      </c>
      <c r="I71" s="7" t="str">
        <f>IFERROR(__xludf.DUMMYFUNCTION("""COMPUTED_VALUE"""),"No salary data")</f>
        <v>No salary data</v>
      </c>
      <c r="J71" s="7" t="str">
        <f>IFERROR(__xludf.DUMMYFUNCTION("""COMPUTED_VALUE"""),"Python, SQL, Excel, Agile")</f>
        <v>Python, SQL, Excel, Agile</v>
      </c>
      <c r="K71" s="7" t="str">
        <f>IFERROR(__xludf.DUMMYFUNCTION("""COMPUTED_VALUE"""),"No job type data")</f>
        <v>No job type data</v>
      </c>
      <c r="L71" s="7" t="str">
        <f>IFERROR(__xludf.DUMMYFUNCTION("""COMPUTED_VALUE"""),"3,9")</f>
        <v>3,9</v>
      </c>
      <c r="M71" s="7"/>
      <c r="N71" s="7"/>
      <c r="O71" s="7"/>
    </row>
    <row r="72">
      <c r="A72" s="29">
        <f>IFERROR(__xludf.DUMMYFUNCTION("""COMPUTED_VALUE"""),68.0)</f>
        <v>68</v>
      </c>
      <c r="B72" s="7" t="str">
        <f>IFERROR(__xludf.DUMMYFUNCTION("""COMPUTED_VALUE"""),"Vor mehr als 30 Tagen")</f>
        <v>Vor mehr als 30 Tagen</v>
      </c>
      <c r="C72" s="7" t="str">
        <f>IFERROR(__xludf.DUMMYFUNCTION("""COMPUTED_VALUE"""),"Data Analysis &amp; Data Engineering &amp; Data Science")</f>
        <v>Data Analysis &amp; Data Engineering &amp; Data Science</v>
      </c>
      <c r="D72" s="7" t="str">
        <f>IFERROR(__xludf.DUMMYFUNCTION("""COMPUTED_VALUE"""),"Hannover")</f>
        <v>Hannover</v>
      </c>
      <c r="E72" s="7" t="str">
        <f>IFERROR(__xludf.DUMMYFUNCTION("""COMPUTED_VALUE"""),"Qimia GmbH")</f>
        <v>Qimia GmbH</v>
      </c>
      <c r="F72" s="7" t="str">
        <f>IFERROR(__xludf.DUMMYFUNCTION("""COMPUTED_VALUE"""),"None")</f>
        <v>None</v>
      </c>
      <c r="G72" s="7" t="str">
        <f>IFERROR(__xludf.DUMMYFUNCTION("""COMPUTED_VALUE"""),"No salary data")</f>
        <v>No salary data</v>
      </c>
      <c r="H72" s="7" t="str">
        <f>IFERROR(__xludf.DUMMYFUNCTION("""COMPUTED_VALUE"""),"No salary data")</f>
        <v>No salary data</v>
      </c>
      <c r="I72" s="7" t="str">
        <f>IFERROR(__xludf.DUMMYFUNCTION("""COMPUTED_VALUE"""),"No salary data")</f>
        <v>No salary data</v>
      </c>
      <c r="J72" s="7" t="str">
        <f>IFERROR(__xludf.DUMMYFUNCTION("""COMPUTED_VALUE"""),"Python, SQL, Machine Learning, Deep Learning, Statistic")</f>
        <v>Python, SQL, Machine Learning, Deep Learning, Statistic</v>
      </c>
      <c r="K72" s="7" t="str">
        <f>IFERROR(__xludf.DUMMYFUNCTION("""COMPUTED_VALUE"""),"No job type data")</f>
        <v>No job type data</v>
      </c>
      <c r="L72" s="7" t="str">
        <f>IFERROR(__xludf.DUMMYFUNCTION("""COMPUTED_VALUE"""),"None")</f>
        <v>None</v>
      </c>
      <c r="M72" s="7"/>
      <c r="N72" s="7"/>
      <c r="O72" s="7"/>
    </row>
    <row r="73">
      <c r="A73" s="29">
        <f>IFERROR(__xludf.DUMMYFUNCTION("""COMPUTED_VALUE"""),69.0)</f>
        <v>69</v>
      </c>
      <c r="B73" s="7" t="str">
        <f>IFERROR(__xludf.DUMMYFUNCTION("""COMPUTED_VALUE"""),"Vor mehr als 30 Tagen")</f>
        <v>Vor mehr als 30 Tagen</v>
      </c>
      <c r="C73" s="7" t="str">
        <f>IFERROR(__xludf.DUMMYFUNCTION("""COMPUTED_VALUE"""),"Praktikant Actuarial Services – Data Analytics")</f>
        <v>Praktikant Actuarial Services – Data Analytics</v>
      </c>
      <c r="D73" s="7" t="str">
        <f>IFERROR(__xludf.DUMMYFUNCTION("""COMPUTED_VALUE"""),"München")</f>
        <v>München</v>
      </c>
      <c r="E73" s="7" t="str">
        <f>IFERROR(__xludf.DUMMYFUNCTION("""COMPUTED_VALUE"""),"Munich Re")</f>
        <v>Munich Re</v>
      </c>
      <c r="F73" s="7" t="str">
        <f>IFERROR(__xludf.DUMMYFUNCTION("""COMPUTED_VALUE"""),"None")</f>
        <v>None</v>
      </c>
      <c r="G73" s="7" t="str">
        <f>IFERROR(__xludf.DUMMYFUNCTION("""COMPUTED_VALUE"""),"No salary data")</f>
        <v>No salary data</v>
      </c>
      <c r="H73" s="7" t="str">
        <f>IFERROR(__xludf.DUMMYFUNCTION("""COMPUTED_VALUE"""),"No salary data")</f>
        <v>No salary data</v>
      </c>
      <c r="I73" s="7" t="str">
        <f>IFERROR(__xludf.DUMMYFUNCTION("""COMPUTED_VALUE"""),"No salary data")</f>
        <v>No salary data</v>
      </c>
      <c r="J73" s="7" t="str">
        <f>IFERROR(__xludf.DUMMYFUNCTION("""COMPUTED_VALUE"""),"Python, SQL, Excel")</f>
        <v>Python, SQL, Excel</v>
      </c>
      <c r="K73" s="7" t="str">
        <f>IFERROR(__xludf.DUMMYFUNCTION("""COMPUTED_VALUE"""),"No job type data")</f>
        <v>No job type data</v>
      </c>
      <c r="L73" s="7" t="str">
        <f>IFERROR(__xludf.DUMMYFUNCTION("""COMPUTED_VALUE"""),"4,0")</f>
        <v>4,0</v>
      </c>
      <c r="M73" s="7"/>
      <c r="N73" s="7"/>
      <c r="O73" s="7"/>
    </row>
    <row r="74">
      <c r="A74" s="29">
        <f>IFERROR(__xludf.DUMMYFUNCTION("""COMPUTED_VALUE"""),70.0)</f>
        <v>70</v>
      </c>
      <c r="B74" s="7" t="str">
        <f>IFERROR(__xludf.DUMMYFUNCTION("""COMPUTED_VALUE"""),"Vor mehr als 30 Tagen")</f>
        <v>Vor mehr als 30 Tagen</v>
      </c>
      <c r="C74" s="7" t="str">
        <f>IFERROR(__xludf.DUMMYFUNCTION("""COMPUTED_VALUE"""),"(Junior) Consultant Data Science (m/w/d)")</f>
        <v>(Junior) Consultant Data Science (m/w/d)</v>
      </c>
      <c r="D74" s="7" t="str">
        <f>IFERROR(__xludf.DUMMYFUNCTION("""COMPUTED_VALUE"""),"Deutschland")</f>
        <v>Deutschland</v>
      </c>
      <c r="E74" s="7" t="str">
        <f>IFERROR(__xludf.DUMMYFUNCTION("""COMPUTED_VALUE"""),"mayato GmbH")</f>
        <v>mayato GmbH</v>
      </c>
      <c r="F74" s="7" t="str">
        <f>IFERROR(__xludf.DUMMYFUNCTION("""COMPUTED_VALUE"""),"None")</f>
        <v>None</v>
      </c>
      <c r="G74" s="7" t="str">
        <f>IFERROR(__xludf.DUMMYFUNCTION("""COMPUTED_VALUE"""),"No salary data")</f>
        <v>No salary data</v>
      </c>
      <c r="H74" s="7" t="str">
        <f>IFERROR(__xludf.DUMMYFUNCTION("""COMPUTED_VALUE"""),"No salary data")</f>
        <v>No salary data</v>
      </c>
      <c r="I74" s="7" t="str">
        <f>IFERROR(__xludf.DUMMYFUNCTION("""COMPUTED_VALUE"""),"No salary data")</f>
        <v>No salary data</v>
      </c>
      <c r="J74" s="7"/>
      <c r="K74" s="7" t="str">
        <f>IFERROR(__xludf.DUMMYFUNCTION("""COMPUTED_VALUE"""),"No job type data")</f>
        <v>No job type data</v>
      </c>
      <c r="L74" s="7" t="str">
        <f>IFERROR(__xludf.DUMMYFUNCTION("""COMPUTED_VALUE"""),"4,8")</f>
        <v>4,8</v>
      </c>
      <c r="M74" s="7"/>
      <c r="N74" s="7"/>
      <c r="O74" s="7"/>
    </row>
    <row r="75">
      <c r="A75" s="29">
        <f>IFERROR(__xludf.DUMMYFUNCTION("""COMPUTED_VALUE"""),71.0)</f>
        <v>71</v>
      </c>
      <c r="B75" s="7" t="str">
        <f>IFERROR(__xludf.DUMMYFUNCTION("""COMPUTED_VALUE"""),"vor 24 Tagen")</f>
        <v>vor 24 Tagen</v>
      </c>
      <c r="C75" s="7" t="str">
        <f>IFERROR(__xludf.DUMMYFUNCTION("""COMPUTED_VALUE"""),"Data Scientist in Biostatistics (m/f/d)")</f>
        <v>Data Scientist in Biostatistics (m/f/d)</v>
      </c>
      <c r="D75" s="7" t="str">
        <f>IFERROR(__xludf.DUMMYFUNCTION("""COMPUTED_VALUE"""),"Penzberg")</f>
        <v>Penzberg</v>
      </c>
      <c r="E75" s="7" t="str">
        <f>IFERROR(__xludf.DUMMYFUNCTION("""COMPUTED_VALUE"""),"Roche")</f>
        <v>Roche</v>
      </c>
      <c r="F75" s="7" t="str">
        <f>IFERROR(__xludf.DUMMYFUNCTION("""COMPUTED_VALUE"""),"None")</f>
        <v>None</v>
      </c>
      <c r="G75" s="7" t="str">
        <f>IFERROR(__xludf.DUMMYFUNCTION("""COMPUTED_VALUE"""),"No salary data")</f>
        <v>No salary data</v>
      </c>
      <c r="H75" s="7" t="str">
        <f>IFERROR(__xludf.DUMMYFUNCTION("""COMPUTED_VALUE"""),"No salary data")</f>
        <v>No salary data</v>
      </c>
      <c r="I75" s="7" t="str">
        <f>IFERROR(__xludf.DUMMYFUNCTION("""COMPUTED_VALUE"""),"No salary data")</f>
        <v>No salary data</v>
      </c>
      <c r="J75" s="7" t="str">
        <f>IFERROR(__xludf.DUMMYFUNCTION("""COMPUTED_VALUE"""),"Python, SQL, Tableau, Excel, Machine Learning, Deep Learning, Statistic, Agile")</f>
        <v>Python, SQL, Tableau, Excel, Machine Learning, Deep Learning, Statistic, Agile</v>
      </c>
      <c r="K75" s="7" t="str">
        <f>IFERROR(__xludf.DUMMYFUNCTION("""COMPUTED_VALUE"""),"No job type data")</f>
        <v>No job type data</v>
      </c>
      <c r="L75" s="7" t="str">
        <f>IFERROR(__xludf.DUMMYFUNCTION("""COMPUTED_VALUE"""),"4,2")</f>
        <v>4,2</v>
      </c>
      <c r="M75" s="7"/>
      <c r="N75" s="7"/>
      <c r="O75" s="7"/>
    </row>
    <row r="76">
      <c r="A76" s="29">
        <f>IFERROR(__xludf.DUMMYFUNCTION("""COMPUTED_VALUE"""),72.0)</f>
        <v>72</v>
      </c>
      <c r="B76" s="7" t="str">
        <f>IFERROR(__xludf.DUMMYFUNCTION("""COMPUTED_VALUE"""),"Vor mehr als 30 Tagen")</f>
        <v>Vor mehr als 30 Tagen</v>
      </c>
      <c r="C76" s="7" t="str">
        <f>IFERROR(__xludf.DUMMYFUNCTION("""COMPUTED_VALUE"""),"Intern/Working Student Data Science / Business Analytics Con...")</f>
        <v>Intern/Working Student Data Science / Business Analytics Con...</v>
      </c>
      <c r="D76" s="7" t="str">
        <f>IFERROR(__xludf.DUMMYFUNCTION("""COMPUTED_VALUE"""),"München")</f>
        <v>München</v>
      </c>
      <c r="E76" s="7" t="str">
        <f>IFERROR(__xludf.DUMMYFUNCTION("""COMPUTED_VALUE"""),"Celonis SE")</f>
        <v>Celonis SE</v>
      </c>
      <c r="F76" s="7" t="str">
        <f>IFERROR(__xludf.DUMMYFUNCTION("""COMPUTED_VALUE"""),"None")</f>
        <v>None</v>
      </c>
      <c r="G76" s="7" t="str">
        <f>IFERROR(__xludf.DUMMYFUNCTION("""COMPUTED_VALUE"""),"No salary data")</f>
        <v>No salary data</v>
      </c>
      <c r="H76" s="7" t="str">
        <f>IFERROR(__xludf.DUMMYFUNCTION("""COMPUTED_VALUE"""),"No salary data")</f>
        <v>No salary data</v>
      </c>
      <c r="I76" s="7" t="str">
        <f>IFERROR(__xludf.DUMMYFUNCTION("""COMPUTED_VALUE"""),"No salary data")</f>
        <v>No salary data</v>
      </c>
      <c r="J76" s="7" t="str">
        <f>IFERROR(__xludf.DUMMYFUNCTION("""COMPUTED_VALUE"""),"SQL, Git")</f>
        <v>SQL, Git</v>
      </c>
      <c r="K76" s="7" t="str">
        <f>IFERROR(__xludf.DUMMYFUNCTION("""COMPUTED_VALUE"""),"Full-Time")</f>
        <v>Full-Time</v>
      </c>
      <c r="L76" s="7" t="str">
        <f>IFERROR(__xludf.DUMMYFUNCTION("""COMPUTED_VALUE"""),"4,3")</f>
        <v>4,3</v>
      </c>
      <c r="M76" s="7"/>
      <c r="N76" s="7"/>
      <c r="O76" s="7"/>
    </row>
    <row r="77">
      <c r="A77" s="29">
        <f>IFERROR(__xludf.DUMMYFUNCTION("""COMPUTED_VALUE"""),73.0)</f>
        <v>73</v>
      </c>
      <c r="B77" s="7" t="str">
        <f>IFERROR(__xludf.DUMMYFUNCTION("""COMPUTED_VALUE"""),"Vor mehr als 30 Tagen")</f>
        <v>Vor mehr als 30 Tagen</v>
      </c>
      <c r="C77" s="7" t="str">
        <f>IFERROR(__xludf.DUMMYFUNCTION("""COMPUTED_VALUE"""),"GEN-C Graduate Program - AI / Analytics / Data Science / BI...")</f>
        <v>GEN-C Graduate Program - AI / Analytics / Data Science / BI...</v>
      </c>
      <c r="D77" s="7" t="str">
        <f>IFERROR(__xludf.DUMMYFUNCTION("""COMPUTED_VALUE"""),"Frankfurt am Main")</f>
        <v>Frankfurt am Main</v>
      </c>
      <c r="E77" s="7" t="str">
        <f>IFERROR(__xludf.DUMMYFUNCTION("""COMPUTED_VALUE"""),"Cognizant")</f>
        <v>Cognizant</v>
      </c>
      <c r="F77" s="7" t="str">
        <f>IFERROR(__xludf.DUMMYFUNCTION("""COMPUTED_VALUE"""),"None")</f>
        <v>None</v>
      </c>
      <c r="G77" s="7" t="str">
        <f>IFERROR(__xludf.DUMMYFUNCTION("""COMPUTED_VALUE"""),"No salary data")</f>
        <v>No salary data</v>
      </c>
      <c r="H77" s="7" t="str">
        <f>IFERROR(__xludf.DUMMYFUNCTION("""COMPUTED_VALUE"""),"No salary data")</f>
        <v>No salary data</v>
      </c>
      <c r="I77" s="7" t="str">
        <f>IFERROR(__xludf.DUMMYFUNCTION("""COMPUTED_VALUE"""),"No salary data")</f>
        <v>No salary data</v>
      </c>
      <c r="J77" s="7" t="str">
        <f>IFERROR(__xludf.DUMMYFUNCTION("""COMPUTED_VALUE"""),"Python, Tableau, Machine Learning, Deep Learning, Git, Agile")</f>
        <v>Python, Tableau, Machine Learning, Deep Learning, Git, Agile</v>
      </c>
      <c r="K77" s="7" t="str">
        <f>IFERROR(__xludf.DUMMYFUNCTION("""COMPUTED_VALUE"""),"Full Time")</f>
        <v>Full Time</v>
      </c>
      <c r="L77" s="7" t="str">
        <f>IFERROR(__xludf.DUMMYFUNCTION("""COMPUTED_VALUE"""),"3,9")</f>
        <v>3,9</v>
      </c>
      <c r="M77" s="7"/>
      <c r="N77" s="7"/>
      <c r="O77" s="7"/>
    </row>
    <row r="78">
      <c r="A78" s="29">
        <f>IFERROR(__xludf.DUMMYFUNCTION("""COMPUTED_VALUE"""),74.0)</f>
        <v>74</v>
      </c>
      <c r="B78" s="7" t="str">
        <f>IFERROR(__xludf.DUMMYFUNCTION("""COMPUTED_VALUE"""),"vor 3 Tagen")</f>
        <v>vor 3 Tagen</v>
      </c>
      <c r="C78" s="7" t="str">
        <f>IFERROR(__xludf.DUMMYFUNCTION("""COMPUTED_VALUE"""),"(Full-Stack) Data Scientist")</f>
        <v>(Full-Stack) Data Scientist</v>
      </c>
      <c r="D78" s="7" t="str">
        <f>IFERROR(__xludf.DUMMYFUNCTION("""COMPUTED_VALUE"""),"Deutschland")</f>
        <v>Deutschland</v>
      </c>
      <c r="E78" s="7" t="str">
        <f>IFERROR(__xludf.DUMMYFUNCTION("""COMPUTED_VALUE"""),"Open-Xchange GmbH")</f>
        <v>Open-Xchange GmbH</v>
      </c>
      <c r="F78" s="7" t="str">
        <f>IFERROR(__xludf.DUMMYFUNCTION("""COMPUTED_VALUE"""),"None")</f>
        <v>None</v>
      </c>
      <c r="G78" s="7" t="str">
        <f>IFERROR(__xludf.DUMMYFUNCTION("""COMPUTED_VALUE"""),"No salary data")</f>
        <v>No salary data</v>
      </c>
      <c r="H78" s="7" t="str">
        <f>IFERROR(__xludf.DUMMYFUNCTION("""COMPUTED_VALUE"""),"No salary data")</f>
        <v>No salary data</v>
      </c>
      <c r="I78" s="7" t="str">
        <f>IFERROR(__xludf.DUMMYFUNCTION("""COMPUTED_VALUE"""),"No salary data")</f>
        <v>No salary data</v>
      </c>
      <c r="J78" s="7" t="str">
        <f>IFERROR(__xludf.DUMMYFUNCTION("""COMPUTED_VALUE"""),"Python, SQL, Machine Learning, Statistic")</f>
        <v>Python, SQL, Machine Learning, Statistic</v>
      </c>
      <c r="K78" s="7" t="str">
        <f>IFERROR(__xludf.DUMMYFUNCTION("""COMPUTED_VALUE"""),"No job type data")</f>
        <v>No job type data</v>
      </c>
      <c r="L78" s="7" t="str">
        <f>IFERROR(__xludf.DUMMYFUNCTION("""COMPUTED_VALUE"""),"5,0")</f>
        <v>5,0</v>
      </c>
      <c r="M78" s="7"/>
      <c r="N78" s="7"/>
      <c r="O78" s="7"/>
    </row>
    <row r="79">
      <c r="A79" s="29">
        <f>IFERROR(__xludf.DUMMYFUNCTION("""COMPUTED_VALUE"""),75.0)</f>
        <v>75</v>
      </c>
      <c r="B79" s="7" t="str">
        <f>IFERROR(__xludf.DUMMYFUNCTION("""COMPUTED_VALUE"""),"vor 6 Tagen")</f>
        <v>vor 6 Tagen</v>
      </c>
      <c r="C79" s="7" t="str">
        <f>IFERROR(__xludf.DUMMYFUNCTION("""COMPUTED_VALUE"""),"Student Job: Computer Science (f/m/div)*")</f>
        <v>Student Job: Computer Science (f/m/div)*</v>
      </c>
      <c r="D79" s="7" t="str">
        <f>IFERROR(__xludf.DUMMYFUNCTION("""COMPUTED_VALUE"""),"München")</f>
        <v>München</v>
      </c>
      <c r="E79" s="7" t="str">
        <f>IFERROR(__xludf.DUMMYFUNCTION("""COMPUTED_VALUE"""),"Infineon Technologies")</f>
        <v>Infineon Technologies</v>
      </c>
      <c r="F79" s="7" t="str">
        <f>IFERROR(__xludf.DUMMYFUNCTION("""COMPUTED_VALUE"""),"None")</f>
        <v>None</v>
      </c>
      <c r="G79" s="7" t="str">
        <f>IFERROR(__xludf.DUMMYFUNCTION("""COMPUTED_VALUE"""),"No salary data")</f>
        <v>No salary data</v>
      </c>
      <c r="H79" s="7" t="str">
        <f>IFERROR(__xludf.DUMMYFUNCTION("""COMPUTED_VALUE"""),"No salary data")</f>
        <v>No salary data</v>
      </c>
      <c r="I79" s="7" t="str">
        <f>IFERROR(__xludf.DUMMYFUNCTION("""COMPUTED_VALUE"""),"No salary data")</f>
        <v>No salary data</v>
      </c>
      <c r="J79" s="7" t="str">
        <f>IFERROR(__xludf.DUMMYFUNCTION("""COMPUTED_VALUE"""),"Python, Tableau, Excel")</f>
        <v>Python, Tableau, Excel</v>
      </c>
      <c r="K79" s="7" t="str">
        <f>IFERROR(__xludf.DUMMYFUNCTION("""COMPUTED_VALUE"""),"No job type data")</f>
        <v>No job type data</v>
      </c>
      <c r="L79" s="7" t="str">
        <f>IFERROR(__xludf.DUMMYFUNCTION("""COMPUTED_VALUE"""),"4,0")</f>
        <v>4,0</v>
      </c>
      <c r="M79" s="7"/>
      <c r="N79" s="7"/>
      <c r="O79" s="7"/>
    </row>
    <row r="80">
      <c r="A80" s="29">
        <f>IFERROR(__xludf.DUMMYFUNCTION("""COMPUTED_VALUE"""),76.0)</f>
        <v>76</v>
      </c>
      <c r="B80" s="7" t="str">
        <f>IFERROR(__xludf.DUMMYFUNCTION("""COMPUTED_VALUE"""),"vor 12 Tagen")</f>
        <v>vor 12 Tagen</v>
      </c>
      <c r="C80" s="7" t="str">
        <f>IFERROR(__xludf.DUMMYFUNCTION("""COMPUTED_VALUE"""),"Data Analyst (m/f/d) - temp 12 months")</f>
        <v>Data Analyst (m/f/d) - temp 12 months</v>
      </c>
      <c r="D80" s="7" t="str">
        <f>IFERROR(__xludf.DUMMYFUNCTION("""COMPUTED_VALUE"""),"Herzogenaurach")</f>
        <v>Herzogenaurach</v>
      </c>
      <c r="E80" s="7" t="str">
        <f>IFERROR(__xludf.DUMMYFUNCTION("""COMPUTED_VALUE"""),"adidas")</f>
        <v>adidas</v>
      </c>
      <c r="F80" s="7" t="str">
        <f>IFERROR(__xludf.DUMMYFUNCTION("""COMPUTED_VALUE"""),"None")</f>
        <v>None</v>
      </c>
      <c r="G80" s="7" t="str">
        <f>IFERROR(__xludf.DUMMYFUNCTION("""COMPUTED_VALUE"""),"No salary data")</f>
        <v>No salary data</v>
      </c>
      <c r="H80" s="7" t="str">
        <f>IFERROR(__xludf.DUMMYFUNCTION("""COMPUTED_VALUE"""),"No salary data")</f>
        <v>No salary data</v>
      </c>
      <c r="I80" s="7" t="str">
        <f>IFERROR(__xludf.DUMMYFUNCTION("""COMPUTED_VALUE"""),"No salary data")</f>
        <v>No salary data</v>
      </c>
      <c r="J80" s="7" t="str">
        <f>IFERROR(__xludf.DUMMYFUNCTION("""COMPUTED_VALUE"""),"Machine Learning, Statistic")</f>
        <v>Machine Learning, Statistic</v>
      </c>
      <c r="K80" s="7" t="str">
        <f>IFERROR(__xludf.DUMMYFUNCTION("""COMPUTED_VALUE"""),"No job type data")</f>
        <v>No job type data</v>
      </c>
      <c r="L80" s="7" t="str">
        <f>IFERROR(__xludf.DUMMYFUNCTION("""COMPUTED_VALUE"""),"4,0")</f>
        <v>4,0</v>
      </c>
      <c r="M80" s="7"/>
      <c r="N80" s="7"/>
      <c r="O80" s="7"/>
    </row>
    <row r="81">
      <c r="A81" s="29">
        <f>IFERROR(__xludf.DUMMYFUNCTION("""COMPUTED_VALUE"""),77.0)</f>
        <v>77</v>
      </c>
      <c r="B81" s="7" t="str">
        <f>IFERROR(__xludf.DUMMYFUNCTION("""COMPUTED_VALUE"""),"Vor mehr als 30 Tagen")</f>
        <v>Vor mehr als 30 Tagen</v>
      </c>
      <c r="C81" s="7" t="str">
        <f>IFERROR(__xludf.DUMMYFUNCTION("""COMPUTED_VALUE"""),"Traineeprogramm (m/w/d) in Technology, Data &amp; Innovation")</f>
        <v>Traineeprogramm (m/w/d) in Technology, Data &amp; Innovation</v>
      </c>
      <c r="D81" s="7" t="str">
        <f>IFERROR(__xludf.DUMMYFUNCTION("""COMPUTED_VALUE"""),"Eschborn")</f>
        <v>Eschborn</v>
      </c>
      <c r="E81" s="7" t="str">
        <f>IFERROR(__xludf.DUMMYFUNCTION("""COMPUTED_VALUE"""),"Deutsche Bank")</f>
        <v>Deutsche Bank</v>
      </c>
      <c r="F81" s="7" t="str">
        <f>IFERROR(__xludf.DUMMYFUNCTION("""COMPUTED_VALUE"""),"None")</f>
        <v>None</v>
      </c>
      <c r="G81" s="7" t="str">
        <f>IFERROR(__xludf.DUMMYFUNCTION("""COMPUTED_VALUE"""),"No salary data")</f>
        <v>No salary data</v>
      </c>
      <c r="H81" s="7" t="str">
        <f>IFERROR(__xludf.DUMMYFUNCTION("""COMPUTED_VALUE"""),"No salary data")</f>
        <v>No salary data</v>
      </c>
      <c r="I81" s="7" t="str">
        <f>IFERROR(__xludf.DUMMYFUNCTION("""COMPUTED_VALUE"""),"No salary data")</f>
        <v>No salary data</v>
      </c>
      <c r="J81" s="7" t="str">
        <f>IFERROR(__xludf.DUMMYFUNCTION("""COMPUTED_VALUE"""),"Git, Agile")</f>
        <v>Git, Agile</v>
      </c>
      <c r="K81" s="7" t="str">
        <f>IFERROR(__xludf.DUMMYFUNCTION("""COMPUTED_VALUE"""),"No job type data")</f>
        <v>No job type data</v>
      </c>
      <c r="L81" s="7" t="str">
        <f>IFERROR(__xludf.DUMMYFUNCTION("""COMPUTED_VALUE"""),"3,8")</f>
        <v>3,8</v>
      </c>
      <c r="M81" s="7"/>
      <c r="N81" s="7"/>
      <c r="O81" s="7"/>
    </row>
    <row r="82">
      <c r="A82" s="29">
        <f>IFERROR(__xludf.DUMMYFUNCTION("""COMPUTED_VALUE"""),78.0)</f>
        <v>78</v>
      </c>
      <c r="B82" s="7" t="str">
        <f>IFERROR(__xludf.DUMMYFUNCTION("""COMPUTED_VALUE"""),"Vor mehr als 30 Tagen")</f>
        <v>Vor mehr als 30 Tagen</v>
      </c>
      <c r="C82" s="7" t="str">
        <f>IFERROR(__xludf.DUMMYFUNCTION("""COMPUTED_VALUE"""),"Junior Data / BI Engineer (f/m/x)")</f>
        <v>Junior Data / BI Engineer (f/m/x)</v>
      </c>
      <c r="D82" s="7" t="str">
        <f>IFERROR(__xludf.DUMMYFUNCTION("""COMPUTED_VALUE"""),"Berlin")</f>
        <v>Berlin</v>
      </c>
      <c r="E82" s="7" t="str">
        <f>IFERROR(__xludf.DUMMYFUNCTION("""COMPUTED_VALUE"""),"Customlytics GmbH")</f>
        <v>Customlytics GmbH</v>
      </c>
      <c r="F82" s="7" t="str">
        <f>IFERROR(__xludf.DUMMYFUNCTION("""COMPUTED_VALUE"""),"None")</f>
        <v>None</v>
      </c>
      <c r="G82" s="7" t="str">
        <f>IFERROR(__xludf.DUMMYFUNCTION("""COMPUTED_VALUE"""),"No salary data")</f>
        <v>No salary data</v>
      </c>
      <c r="H82" s="7" t="str">
        <f>IFERROR(__xludf.DUMMYFUNCTION("""COMPUTED_VALUE"""),"No salary data")</f>
        <v>No salary data</v>
      </c>
      <c r="I82" s="7" t="str">
        <f>IFERROR(__xludf.DUMMYFUNCTION("""COMPUTED_VALUE"""),"No salary data")</f>
        <v>No salary data</v>
      </c>
      <c r="J82" s="7" t="str">
        <f>IFERROR(__xludf.DUMMYFUNCTION("""COMPUTED_VALUE"""),"Python, SQL, Tableau, Statistic")</f>
        <v>Python, SQL, Tableau, Statistic</v>
      </c>
      <c r="K82" s="7" t="str">
        <f>IFERROR(__xludf.DUMMYFUNCTION("""COMPUTED_VALUE"""),"No job type data")</f>
        <v>No job type data</v>
      </c>
      <c r="L82" s="7" t="str">
        <f>IFERROR(__xludf.DUMMYFUNCTION("""COMPUTED_VALUE"""),"None")</f>
        <v>None</v>
      </c>
      <c r="M82" s="7"/>
      <c r="N82" s="7"/>
      <c r="O82" s="7"/>
    </row>
    <row r="83">
      <c r="A83" s="29">
        <f>IFERROR(__xludf.DUMMYFUNCTION("""COMPUTED_VALUE"""),79.0)</f>
        <v>79</v>
      </c>
      <c r="B83" s="7" t="str">
        <f>IFERROR(__xludf.DUMMYFUNCTION("""COMPUTED_VALUE"""),"Vor mehr als 30 Tagen")</f>
        <v>Vor mehr als 30 Tagen</v>
      </c>
      <c r="C83" s="7" t="str">
        <f>IFERROR(__xludf.DUMMYFUNCTION("""COMPUTED_VALUE"""),"(Junior) Frontend Engineer – Data Visualization (m/f/div)")</f>
        <v>(Junior) Frontend Engineer – Data Visualization (m/f/div)</v>
      </c>
      <c r="D83" s="7" t="str">
        <f>IFERROR(__xludf.DUMMYFUNCTION("""COMPUTED_VALUE"""),"Berlin")</f>
        <v>Berlin</v>
      </c>
      <c r="E83" s="7" t="str">
        <f>IFERROR(__xludf.DUMMYFUNCTION("""COMPUTED_VALUE"""),"Elinvar GmbH")</f>
        <v>Elinvar GmbH</v>
      </c>
      <c r="F83" s="7" t="str">
        <f>IFERROR(__xludf.DUMMYFUNCTION("""COMPUTED_VALUE"""),"None")</f>
        <v>None</v>
      </c>
      <c r="G83" s="7" t="str">
        <f>IFERROR(__xludf.DUMMYFUNCTION("""COMPUTED_VALUE"""),"No salary data")</f>
        <v>No salary data</v>
      </c>
      <c r="H83" s="7" t="str">
        <f>IFERROR(__xludf.DUMMYFUNCTION("""COMPUTED_VALUE"""),"No salary data")</f>
        <v>No salary data</v>
      </c>
      <c r="I83" s="7" t="str">
        <f>IFERROR(__xludf.DUMMYFUNCTION("""COMPUTED_VALUE"""),"No salary data")</f>
        <v>No salary data</v>
      </c>
      <c r="J83" s="7" t="str">
        <f>IFERROR(__xludf.DUMMYFUNCTION("""COMPUTED_VALUE"""),"Python, SQL, Excel, Git")</f>
        <v>Python, SQL, Excel, Git</v>
      </c>
      <c r="K83" s="7" t="str">
        <f>IFERROR(__xludf.DUMMYFUNCTION("""COMPUTED_VALUE"""),"No job type data")</f>
        <v>No job type data</v>
      </c>
      <c r="L83" s="7" t="str">
        <f>IFERROR(__xludf.DUMMYFUNCTION("""COMPUTED_VALUE"""),"None")</f>
        <v>None</v>
      </c>
      <c r="M83" s="7"/>
      <c r="N83" s="7"/>
      <c r="O83" s="7"/>
    </row>
    <row r="84">
      <c r="A84" s="29">
        <f>IFERROR(__xludf.DUMMYFUNCTION("""COMPUTED_VALUE"""),80.0)</f>
        <v>80</v>
      </c>
      <c r="B84" s="7" t="str">
        <f>IFERROR(__xludf.DUMMYFUNCTION("""COMPUTED_VALUE"""),"vor 4 Tagen")</f>
        <v>vor 4 Tagen</v>
      </c>
      <c r="C84" s="7" t="str">
        <f>IFERROR(__xludf.DUMMYFUNCTION("""COMPUTED_VALUE"""),"Praktikum Data Science in der Digitalisierung (m/w/d)")</f>
        <v>Praktikum Data Science in der Digitalisierung (m/w/d)</v>
      </c>
      <c r="D84" s="7" t="str">
        <f>IFERROR(__xludf.DUMMYFUNCTION("""COMPUTED_VALUE"""),"Schwarzheide")</f>
        <v>Schwarzheide</v>
      </c>
      <c r="E84" s="7" t="str">
        <f>IFERROR(__xludf.DUMMYFUNCTION("""COMPUTED_VALUE"""),"BASF Schwarzheide GmbH")</f>
        <v>BASF Schwarzheide GmbH</v>
      </c>
      <c r="F84" s="7" t="str">
        <f>IFERROR(__xludf.DUMMYFUNCTION("""COMPUTED_VALUE"""),"None")</f>
        <v>None</v>
      </c>
      <c r="G84" s="7" t="str">
        <f>IFERROR(__xludf.DUMMYFUNCTION("""COMPUTED_VALUE"""),"No salary data")</f>
        <v>No salary data</v>
      </c>
      <c r="H84" s="7" t="str">
        <f>IFERROR(__xludf.DUMMYFUNCTION("""COMPUTED_VALUE"""),"No salary data")</f>
        <v>No salary data</v>
      </c>
      <c r="I84" s="7" t="str">
        <f>IFERROR(__xludf.DUMMYFUNCTION("""COMPUTED_VALUE"""),"No salary data")</f>
        <v>No salary data</v>
      </c>
      <c r="J84" s="7" t="str">
        <f>IFERROR(__xludf.DUMMYFUNCTION("""COMPUTED_VALUE"""),"Python, Machine Learning, Git, Agile")</f>
        <v>Python, Machine Learning, Git, Agile</v>
      </c>
      <c r="K84" s="7" t="str">
        <f>IFERROR(__xludf.DUMMYFUNCTION("""COMPUTED_VALUE"""),"No job type data")</f>
        <v>No job type data</v>
      </c>
      <c r="L84" s="7" t="str">
        <f>IFERROR(__xludf.DUMMYFUNCTION("""COMPUTED_VALUE"""),"4,1")</f>
        <v>4,1</v>
      </c>
      <c r="M84" s="7"/>
      <c r="N84" s="7"/>
      <c r="O84" s="7"/>
    </row>
    <row r="85">
      <c r="A85" s="29">
        <f>IFERROR(__xludf.DUMMYFUNCTION("""COMPUTED_VALUE"""),81.0)</f>
        <v>81</v>
      </c>
      <c r="B85" s="7" t="str">
        <f>IFERROR(__xludf.DUMMYFUNCTION("""COMPUTED_VALUE"""),"vor 11 Tagen")</f>
        <v>vor 11 Tagen</v>
      </c>
      <c r="C85" s="7" t="str">
        <f>IFERROR(__xludf.DUMMYFUNCTION("""COMPUTED_VALUE"""),"IT Data Architect (f/m/d)")</f>
        <v>IT Data Architect (f/m/d)</v>
      </c>
      <c r="D85" s="7" t="str">
        <f>IFERROR(__xludf.DUMMYFUNCTION("""COMPUTED_VALUE"""),"Bad Vilbel")</f>
        <v>Bad Vilbel</v>
      </c>
      <c r="E85" s="7" t="str">
        <f>IFERROR(__xludf.DUMMYFUNCTION("""COMPUTED_VALUE"""),"STADA Arzneimittel AG")</f>
        <v>STADA Arzneimittel AG</v>
      </c>
      <c r="F85" s="7" t="str">
        <f>IFERROR(__xludf.DUMMYFUNCTION("""COMPUTED_VALUE"""),"None")</f>
        <v>None</v>
      </c>
      <c r="G85" s="7" t="str">
        <f>IFERROR(__xludf.DUMMYFUNCTION("""COMPUTED_VALUE"""),"No salary data")</f>
        <v>No salary data</v>
      </c>
      <c r="H85" s="7" t="str">
        <f>IFERROR(__xludf.DUMMYFUNCTION("""COMPUTED_VALUE"""),"No salary data")</f>
        <v>No salary data</v>
      </c>
      <c r="I85" s="7" t="str">
        <f>IFERROR(__xludf.DUMMYFUNCTION("""COMPUTED_VALUE"""),"No salary data")</f>
        <v>No salary data</v>
      </c>
      <c r="J85" s="7" t="str">
        <f>IFERROR(__xludf.DUMMYFUNCTION("""COMPUTED_VALUE"""),"Python, SQL, Tableau, Machine Learning, Statistic, Linux")</f>
        <v>Python, SQL, Tableau, Machine Learning, Statistic, Linux</v>
      </c>
      <c r="K85" s="7" t="str">
        <f>IFERROR(__xludf.DUMMYFUNCTION("""COMPUTED_VALUE"""),"No job type data")</f>
        <v>No job type data</v>
      </c>
      <c r="L85" s="7" t="str">
        <f>IFERROR(__xludf.DUMMYFUNCTION("""COMPUTED_VALUE"""),"None")</f>
        <v>None</v>
      </c>
      <c r="M85" s="7"/>
      <c r="N85" s="7"/>
      <c r="O85" s="7"/>
    </row>
    <row r="86">
      <c r="A86" s="29">
        <f>IFERROR(__xludf.DUMMYFUNCTION("""COMPUTED_VALUE"""),82.0)</f>
        <v>82</v>
      </c>
      <c r="B86" s="7" t="str">
        <f>IFERROR(__xludf.DUMMYFUNCTION("""COMPUTED_VALUE"""),"vor 6 Tagen")</f>
        <v>vor 6 Tagen</v>
      </c>
      <c r="C86" s="7" t="str">
        <f>IFERROR(__xludf.DUMMYFUNCTION("""COMPUTED_VALUE"""),"Data Engineering - Entry Level (m/w/d)")</f>
        <v>Data Engineering - Entry Level (m/w/d)</v>
      </c>
      <c r="D86" s="7" t="str">
        <f>IFERROR(__xludf.DUMMYFUNCTION("""COMPUTED_VALUE"""),"Nürnberg")</f>
        <v>Nürnberg</v>
      </c>
      <c r="E86" s="7" t="str">
        <f>IFERROR(__xludf.DUMMYFUNCTION("""COMPUTED_VALUE"""),"Exasol")</f>
        <v>Exasol</v>
      </c>
      <c r="F86" s="7" t="str">
        <f>IFERROR(__xludf.DUMMYFUNCTION("""COMPUTED_VALUE"""),"None")</f>
        <v>None</v>
      </c>
      <c r="G86" s="7" t="str">
        <f>IFERROR(__xludf.DUMMYFUNCTION("""COMPUTED_VALUE"""),"No salary data")</f>
        <v>No salary data</v>
      </c>
      <c r="H86" s="7" t="str">
        <f>IFERROR(__xludf.DUMMYFUNCTION("""COMPUTED_VALUE"""),"No salary data")</f>
        <v>No salary data</v>
      </c>
      <c r="I86" s="7" t="str">
        <f>IFERROR(__xludf.DUMMYFUNCTION("""COMPUTED_VALUE"""),"No salary data")</f>
        <v>No salary data</v>
      </c>
      <c r="J86" s="7" t="str">
        <f>IFERROR(__xludf.DUMMYFUNCTION("""COMPUTED_VALUE"""),"Python, SQL, Git")</f>
        <v>Python, SQL, Git</v>
      </c>
      <c r="K86" s="7" t="str">
        <f>IFERROR(__xludf.DUMMYFUNCTION("""COMPUTED_VALUE"""),"Full-Time")</f>
        <v>Full-Time</v>
      </c>
      <c r="L86" s="7" t="str">
        <f>IFERROR(__xludf.DUMMYFUNCTION("""COMPUTED_VALUE"""),"None")</f>
        <v>None</v>
      </c>
      <c r="M86" s="7"/>
      <c r="N86" s="7"/>
      <c r="O86" s="7"/>
    </row>
    <row r="87">
      <c r="A87" s="29">
        <f>IFERROR(__xludf.DUMMYFUNCTION("""COMPUTED_VALUE"""),83.0)</f>
        <v>83</v>
      </c>
      <c r="B87" s="7" t="str">
        <f>IFERROR(__xludf.DUMMYFUNCTION("""COMPUTED_VALUE"""),"Vor mehr als 30 Tagen")</f>
        <v>Vor mehr als 30 Tagen</v>
      </c>
      <c r="C87" s="7" t="str">
        <f>IFERROR(__xludf.DUMMYFUNCTION("""COMPUTED_VALUE"""),"Junior Software Engineer (Internship) 20_000")</f>
        <v>Junior Software Engineer (Internship) 20_000</v>
      </c>
      <c r="D87" s="7" t="str">
        <f>IFERROR(__xludf.DUMMYFUNCTION("""COMPUTED_VALUE"""),"Deutschland")</f>
        <v>Deutschland</v>
      </c>
      <c r="E87" s="7" t="str">
        <f>IFERROR(__xludf.DUMMYFUNCTION("""COMPUTED_VALUE"""),"Terma A/S")</f>
        <v>Terma A/S</v>
      </c>
      <c r="F87" s="7" t="str">
        <f>IFERROR(__xludf.DUMMYFUNCTION("""COMPUTED_VALUE"""),"None")</f>
        <v>None</v>
      </c>
      <c r="G87" s="7" t="str">
        <f>IFERROR(__xludf.DUMMYFUNCTION("""COMPUTED_VALUE"""),"No salary data")</f>
        <v>No salary data</v>
      </c>
      <c r="H87" s="7" t="str">
        <f>IFERROR(__xludf.DUMMYFUNCTION("""COMPUTED_VALUE"""),"No salary data")</f>
        <v>No salary data</v>
      </c>
      <c r="I87" s="7" t="str">
        <f>IFERROR(__xludf.DUMMYFUNCTION("""COMPUTED_VALUE"""),"No salary data")</f>
        <v>No salary data</v>
      </c>
      <c r="J87" s="7" t="str">
        <f>IFERROR(__xludf.DUMMYFUNCTION("""COMPUTED_VALUE"""),"Python, SQL, Excel, Machine Learning, Git, Linux, Agile, Scrum")</f>
        <v>Python, SQL, Excel, Machine Learning, Git, Linux, Agile, Scrum</v>
      </c>
      <c r="K87" s="7" t="str">
        <f>IFERROR(__xludf.DUMMYFUNCTION("""COMPUTED_VALUE"""),"Internship")</f>
        <v>Internship</v>
      </c>
      <c r="L87" s="7" t="str">
        <f>IFERROR(__xludf.DUMMYFUNCTION("""COMPUTED_VALUE"""),"None")</f>
        <v>None</v>
      </c>
      <c r="M87" s="7"/>
      <c r="N87" s="7"/>
      <c r="O87" s="7"/>
    </row>
    <row r="88">
      <c r="A88" s="29">
        <f>IFERROR(__xludf.DUMMYFUNCTION("""COMPUTED_VALUE"""),84.0)</f>
        <v>84</v>
      </c>
      <c r="B88" s="7" t="str">
        <f>IFERROR(__xludf.DUMMYFUNCTION("""COMPUTED_VALUE"""),"vor 6 Tagen")</f>
        <v>vor 6 Tagen</v>
      </c>
      <c r="C88" s="7" t="str">
        <f>IFERROR(__xludf.DUMMYFUNCTION("""COMPUTED_VALUE"""),"Data Engineering - Entry Level (m/w/d)")</f>
        <v>Data Engineering - Entry Level (m/w/d)</v>
      </c>
      <c r="D88" s="7" t="str">
        <f>IFERROR(__xludf.DUMMYFUNCTION("""COMPUTED_VALUE"""),"Nürnberg")</f>
        <v>Nürnberg</v>
      </c>
      <c r="E88" s="7" t="str">
        <f>IFERROR(__xludf.DUMMYFUNCTION("""COMPUTED_VALUE"""),"Exasol")</f>
        <v>Exasol</v>
      </c>
      <c r="F88" s="7" t="str">
        <f>IFERROR(__xludf.DUMMYFUNCTION("""COMPUTED_VALUE"""),"None")</f>
        <v>None</v>
      </c>
      <c r="G88" s="7" t="str">
        <f>IFERROR(__xludf.DUMMYFUNCTION("""COMPUTED_VALUE"""),"No salary data")</f>
        <v>No salary data</v>
      </c>
      <c r="H88" s="7" t="str">
        <f>IFERROR(__xludf.DUMMYFUNCTION("""COMPUTED_VALUE"""),"No salary data")</f>
        <v>No salary data</v>
      </c>
      <c r="I88" s="7" t="str">
        <f>IFERROR(__xludf.DUMMYFUNCTION("""COMPUTED_VALUE"""),"No salary data")</f>
        <v>No salary data</v>
      </c>
      <c r="J88" s="7" t="str">
        <f>IFERROR(__xludf.DUMMYFUNCTION("""COMPUTED_VALUE"""),"Python, SQL, Git")</f>
        <v>Python, SQL, Git</v>
      </c>
      <c r="K88" s="7" t="str">
        <f>IFERROR(__xludf.DUMMYFUNCTION("""COMPUTED_VALUE"""),"Full-Time")</f>
        <v>Full-Time</v>
      </c>
      <c r="L88" s="7" t="str">
        <f>IFERROR(__xludf.DUMMYFUNCTION("""COMPUTED_VALUE"""),"None")</f>
        <v>None</v>
      </c>
      <c r="M88" s="7"/>
      <c r="N88" s="7"/>
      <c r="O88" s="7"/>
    </row>
    <row r="89">
      <c r="A89" s="29">
        <f>IFERROR(__xludf.DUMMYFUNCTION("""COMPUTED_VALUE"""),85.0)</f>
        <v>85</v>
      </c>
      <c r="B89" s="7" t="str">
        <f>IFERROR(__xludf.DUMMYFUNCTION("""COMPUTED_VALUE"""),"Vor mehr als 30 Tagen")</f>
        <v>Vor mehr als 30 Tagen</v>
      </c>
      <c r="C89" s="7" t="str">
        <f>IFERROR(__xludf.DUMMYFUNCTION("""COMPUTED_VALUE"""),"Data Scientist")</f>
        <v>Data Scientist</v>
      </c>
      <c r="D89" s="7" t="str">
        <f>IFERROR(__xludf.DUMMYFUNCTION("""COMPUTED_VALUE"""),"Bremen")</f>
        <v>Bremen</v>
      </c>
      <c r="E89" s="7" t="str">
        <f>IFERROR(__xludf.DUMMYFUNCTION("""COMPUTED_VALUE"""),"JUST ADD AI GmbH")</f>
        <v>JUST ADD AI GmbH</v>
      </c>
      <c r="F89" s="7" t="str">
        <f>IFERROR(__xludf.DUMMYFUNCTION("""COMPUTED_VALUE"""),"None")</f>
        <v>None</v>
      </c>
      <c r="G89" s="7" t="str">
        <f>IFERROR(__xludf.DUMMYFUNCTION("""COMPUTED_VALUE"""),"No salary data")</f>
        <v>No salary data</v>
      </c>
      <c r="H89" s="7" t="str">
        <f>IFERROR(__xludf.DUMMYFUNCTION("""COMPUTED_VALUE"""),"No salary data")</f>
        <v>No salary data</v>
      </c>
      <c r="I89" s="7" t="str">
        <f>IFERROR(__xludf.DUMMYFUNCTION("""COMPUTED_VALUE"""),"No salary data")</f>
        <v>No salary data</v>
      </c>
      <c r="J89" s="7" t="str">
        <f>IFERROR(__xludf.DUMMYFUNCTION("""COMPUTED_VALUE"""),"Python, Machine Learning, Deep Learning, Agile")</f>
        <v>Python, Machine Learning, Deep Learning, Agile</v>
      </c>
      <c r="K89" s="7" t="str">
        <f>IFERROR(__xludf.DUMMYFUNCTION("""COMPUTED_VALUE"""),"No job type data")</f>
        <v>No job type data</v>
      </c>
      <c r="L89" s="7" t="str">
        <f>IFERROR(__xludf.DUMMYFUNCTION("""COMPUTED_VALUE"""),"None")</f>
        <v>None</v>
      </c>
      <c r="M89" s="7"/>
      <c r="N89" s="7"/>
      <c r="O89" s="7"/>
    </row>
    <row r="90">
      <c r="A90" s="29">
        <f>IFERROR(__xludf.DUMMYFUNCTION("""COMPUTED_VALUE"""),86.0)</f>
        <v>86</v>
      </c>
      <c r="B90" s="7" t="str">
        <f>IFERROR(__xludf.DUMMYFUNCTION("""COMPUTED_VALUE"""),"vor 6 Tagen")</f>
        <v>vor 6 Tagen</v>
      </c>
      <c r="C90" s="7" t="str">
        <f>IFERROR(__xludf.DUMMYFUNCTION("""COMPUTED_VALUE"""),"Professionals Data Analyst m/f/t DE, Essen Permanent 28.09.2...")</f>
        <v>Professionals Data Analyst m/f/t DE, Essen Permanent 28.09.2...</v>
      </c>
      <c r="D90" s="7" t="str">
        <f>IFERROR(__xludf.DUMMYFUNCTION("""COMPUTED_VALUE"""),"Essen")</f>
        <v>Essen</v>
      </c>
      <c r="E90" s="7" t="str">
        <f>IFERROR(__xludf.DUMMYFUNCTION("""COMPUTED_VALUE"""),"RWE Supply &amp; Trading GmbH")</f>
        <v>RWE Supply &amp; Trading GmbH</v>
      </c>
      <c r="F90" s="7" t="str">
        <f>IFERROR(__xludf.DUMMYFUNCTION("""COMPUTED_VALUE"""),"None")</f>
        <v>None</v>
      </c>
      <c r="G90" s="7" t="str">
        <f>IFERROR(__xludf.DUMMYFUNCTION("""COMPUTED_VALUE"""),"No salary data")</f>
        <v>No salary data</v>
      </c>
      <c r="H90" s="7" t="str">
        <f>IFERROR(__xludf.DUMMYFUNCTION("""COMPUTED_VALUE"""),"No salary data")</f>
        <v>No salary data</v>
      </c>
      <c r="I90" s="7" t="str">
        <f>IFERROR(__xludf.DUMMYFUNCTION("""COMPUTED_VALUE"""),"No salary data")</f>
        <v>No salary data</v>
      </c>
      <c r="J90" s="7" t="str">
        <f>IFERROR(__xludf.DUMMYFUNCTION("""COMPUTED_VALUE"""),"Python")</f>
        <v>Python</v>
      </c>
      <c r="K90" s="7" t="str">
        <f>IFERROR(__xludf.DUMMYFUNCTION("""COMPUTED_VALUE"""),"Full Time")</f>
        <v>Full Time</v>
      </c>
      <c r="L90" s="7" t="str">
        <f>IFERROR(__xludf.DUMMYFUNCTION("""COMPUTED_VALUE"""),"4,0")</f>
        <v>4,0</v>
      </c>
      <c r="M90" s="7"/>
      <c r="N90" s="7"/>
      <c r="O90" s="7"/>
    </row>
    <row r="91">
      <c r="A91" s="29">
        <f>IFERROR(__xludf.DUMMYFUNCTION("""COMPUTED_VALUE"""),87.0)</f>
        <v>87</v>
      </c>
      <c r="B91" s="7" t="str">
        <f>IFERROR(__xludf.DUMMYFUNCTION("""COMPUTED_VALUE"""),"Vor mehr als 30 Tagen")</f>
        <v>Vor mehr als 30 Tagen</v>
      </c>
      <c r="C91" s="7" t="str">
        <f>IFERROR(__xludf.DUMMYFUNCTION("""COMPUTED_VALUE"""),"Mathematiker Data Science (m/w/d)")</f>
        <v>Mathematiker Data Science (m/w/d)</v>
      </c>
      <c r="D91" s="7" t="str">
        <f>IFERROR(__xludf.DUMMYFUNCTION("""COMPUTED_VALUE"""),"München")</f>
        <v>München</v>
      </c>
      <c r="E91" s="7" t="str">
        <f>IFERROR(__xludf.DUMMYFUNCTION("""COMPUTED_VALUE"""),"AKKA TECHNOLOGIES")</f>
        <v>AKKA TECHNOLOGIES</v>
      </c>
      <c r="F91" s="7" t="str">
        <f>IFERROR(__xludf.DUMMYFUNCTION("""COMPUTED_VALUE"""),"None")</f>
        <v>None</v>
      </c>
      <c r="G91" s="7" t="str">
        <f>IFERROR(__xludf.DUMMYFUNCTION("""COMPUTED_VALUE"""),"No salary data")</f>
        <v>No salary data</v>
      </c>
      <c r="H91" s="7" t="str">
        <f>IFERROR(__xludf.DUMMYFUNCTION("""COMPUTED_VALUE"""),"No salary data")</f>
        <v>No salary data</v>
      </c>
      <c r="I91" s="7" t="str">
        <f>IFERROR(__xludf.DUMMYFUNCTION("""COMPUTED_VALUE"""),"No salary data")</f>
        <v>No salary data</v>
      </c>
      <c r="J91" s="7" t="str">
        <f>IFERROR(__xludf.DUMMYFUNCTION("""COMPUTED_VALUE"""),"Python, SQL, Tableau")</f>
        <v>Python, SQL, Tableau</v>
      </c>
      <c r="K91" s="7" t="str">
        <f>IFERROR(__xludf.DUMMYFUNCTION("""COMPUTED_VALUE"""),"No job type data")</f>
        <v>No job type data</v>
      </c>
      <c r="L91" s="7" t="str">
        <f>IFERROR(__xludf.DUMMYFUNCTION("""COMPUTED_VALUE"""),"3,1")</f>
        <v>3,1</v>
      </c>
      <c r="M91" s="7"/>
      <c r="N91" s="7"/>
      <c r="O91" s="7"/>
    </row>
    <row r="92">
      <c r="A92" s="29">
        <f>IFERROR(__xludf.DUMMYFUNCTION("""COMPUTED_VALUE"""),88.0)</f>
        <v>88</v>
      </c>
      <c r="B92" s="7" t="str">
        <f>IFERROR(__xludf.DUMMYFUNCTION("""COMPUTED_VALUE"""),"Vor mehr als 30 Tagen")</f>
        <v>Vor mehr als 30 Tagen</v>
      </c>
      <c r="C92" s="7" t="str">
        <f>IFERROR(__xludf.DUMMYFUNCTION("""COMPUTED_VALUE"""),"(Junior) Data Scientist (m/w/d)")</f>
        <v>(Junior) Data Scientist (m/w/d)</v>
      </c>
      <c r="D92" s="7" t="str">
        <f>IFERROR(__xludf.DUMMYFUNCTION("""COMPUTED_VALUE"""),"Leipzig")</f>
        <v>Leipzig</v>
      </c>
      <c r="E92" s="7" t="str">
        <f>IFERROR(__xludf.DUMMYFUNCTION("""COMPUTED_VALUE"""),"AKKA TECHNOLOGIES")</f>
        <v>AKKA TECHNOLOGIES</v>
      </c>
      <c r="F92" s="7" t="str">
        <f>IFERROR(__xludf.DUMMYFUNCTION("""COMPUTED_VALUE"""),"None")</f>
        <v>None</v>
      </c>
      <c r="G92" s="7" t="str">
        <f>IFERROR(__xludf.DUMMYFUNCTION("""COMPUTED_VALUE"""),"No salary data")</f>
        <v>No salary data</v>
      </c>
      <c r="H92" s="7" t="str">
        <f>IFERROR(__xludf.DUMMYFUNCTION("""COMPUTED_VALUE"""),"No salary data")</f>
        <v>No salary data</v>
      </c>
      <c r="I92" s="7" t="str">
        <f>IFERROR(__xludf.DUMMYFUNCTION("""COMPUTED_VALUE"""),"No salary data")</f>
        <v>No salary data</v>
      </c>
      <c r="J92" s="7" t="str">
        <f>IFERROR(__xludf.DUMMYFUNCTION("""COMPUTED_VALUE"""),"Python, SQL, Tableau, Machine Learning, Agile")</f>
        <v>Python, SQL, Tableau, Machine Learning, Agile</v>
      </c>
      <c r="K92" s="7" t="str">
        <f>IFERROR(__xludf.DUMMYFUNCTION("""COMPUTED_VALUE"""),"No job type data")</f>
        <v>No job type data</v>
      </c>
      <c r="L92" s="7" t="str">
        <f>IFERROR(__xludf.DUMMYFUNCTION("""COMPUTED_VALUE"""),"3,1")</f>
        <v>3,1</v>
      </c>
      <c r="M92" s="7"/>
      <c r="N92" s="7"/>
      <c r="O92" s="7"/>
    </row>
    <row r="93">
      <c r="A93" s="29">
        <f>IFERROR(__xludf.DUMMYFUNCTION("""COMPUTED_VALUE"""),89.0)</f>
        <v>89</v>
      </c>
      <c r="B93" s="7" t="str">
        <f>IFERROR(__xludf.DUMMYFUNCTION("""COMPUTED_VALUE"""),"vor 7 Tagen")</f>
        <v>vor 7 Tagen</v>
      </c>
      <c r="C93" s="7" t="str">
        <f>IFERROR(__xludf.DUMMYFUNCTION("""COMPUTED_VALUE"""),"(Junior) Developer – Bereich Data Warehouse (m|w|x)")</f>
        <v>(Junior) Developer – Bereich Data Warehouse (m|w|x)</v>
      </c>
      <c r="D93" s="7" t="str">
        <f>IFERROR(__xludf.DUMMYFUNCTION("""COMPUTED_VALUE"""),"Berlin")</f>
        <v>Berlin</v>
      </c>
      <c r="E93" s="7" t="str">
        <f>IFERROR(__xludf.DUMMYFUNCTION("""COMPUTED_VALUE"""),"idealo internet GmbH")</f>
        <v>idealo internet GmbH</v>
      </c>
      <c r="F93" s="7" t="str">
        <f>IFERROR(__xludf.DUMMYFUNCTION("""COMPUTED_VALUE"""),"None")</f>
        <v>None</v>
      </c>
      <c r="G93" s="7" t="str">
        <f>IFERROR(__xludf.DUMMYFUNCTION("""COMPUTED_VALUE"""),"No salary data")</f>
        <v>No salary data</v>
      </c>
      <c r="H93" s="7" t="str">
        <f>IFERROR(__xludf.DUMMYFUNCTION("""COMPUTED_VALUE"""),"No salary data")</f>
        <v>No salary data</v>
      </c>
      <c r="I93" s="7" t="str">
        <f>IFERROR(__xludf.DUMMYFUNCTION("""COMPUTED_VALUE"""),"No salary data")</f>
        <v>No salary data</v>
      </c>
      <c r="J93" s="7" t="str">
        <f>IFERROR(__xludf.DUMMYFUNCTION("""COMPUTED_VALUE"""),"Python, SQL, Git, Linux, Agile")</f>
        <v>Python, SQL, Git, Linux, Agile</v>
      </c>
      <c r="K93" s="7" t="str">
        <f>IFERROR(__xludf.DUMMYFUNCTION("""COMPUTED_VALUE"""),"No job type data")</f>
        <v>No job type data</v>
      </c>
      <c r="L93" s="7" t="str">
        <f>IFERROR(__xludf.DUMMYFUNCTION("""COMPUTED_VALUE"""),"4,3")</f>
        <v>4,3</v>
      </c>
      <c r="M93" s="7"/>
      <c r="N93" s="7"/>
      <c r="O93" s="7"/>
    </row>
    <row r="94">
      <c r="A94" s="29">
        <f>IFERROR(__xludf.DUMMYFUNCTION("""COMPUTED_VALUE"""),90.0)</f>
        <v>90</v>
      </c>
      <c r="B94" s="7" t="str">
        <f>IFERROR(__xludf.DUMMYFUNCTION("""COMPUTED_VALUE"""),"vor 3 Tagen")</f>
        <v>vor 3 Tagen</v>
      </c>
      <c r="C94" s="7" t="str">
        <f>IFERROR(__xludf.DUMMYFUNCTION("""COMPUTED_VALUE"""),"AI Internship")</f>
        <v>AI Internship</v>
      </c>
      <c r="D94" s="7" t="str">
        <f>IFERROR(__xludf.DUMMYFUNCTION("""COMPUTED_VALUE"""),"Berlin")</f>
        <v>Berlin</v>
      </c>
      <c r="E94" s="7" t="str">
        <f>IFERROR(__xludf.DUMMYFUNCTION("""COMPUTED_VALUE"""),"TERAKI GmbH")</f>
        <v>TERAKI GmbH</v>
      </c>
      <c r="F94" s="7" t="str">
        <f>IFERROR(__xludf.DUMMYFUNCTION("""COMPUTED_VALUE"""),"None")</f>
        <v>None</v>
      </c>
      <c r="G94" s="7" t="str">
        <f>IFERROR(__xludf.DUMMYFUNCTION("""COMPUTED_VALUE"""),"No salary data")</f>
        <v>No salary data</v>
      </c>
      <c r="H94" s="7" t="str">
        <f>IFERROR(__xludf.DUMMYFUNCTION("""COMPUTED_VALUE"""),"No salary data")</f>
        <v>No salary data</v>
      </c>
      <c r="I94" s="7" t="str">
        <f>IFERROR(__xludf.DUMMYFUNCTION("""COMPUTED_VALUE"""),"No salary data")</f>
        <v>No salary data</v>
      </c>
      <c r="J94" s="7" t="str">
        <f>IFERROR(__xludf.DUMMYFUNCTION("""COMPUTED_VALUE"""),"Python, Machine Learning, Deep Learning")</f>
        <v>Python, Machine Learning, Deep Learning</v>
      </c>
      <c r="K94" s="7" t="str">
        <f>IFERROR(__xludf.DUMMYFUNCTION("""COMPUTED_VALUE"""),"No job type data")</f>
        <v>No job type data</v>
      </c>
      <c r="L94" s="7" t="str">
        <f>IFERROR(__xludf.DUMMYFUNCTION("""COMPUTED_VALUE"""),"None")</f>
        <v>None</v>
      </c>
      <c r="M94" s="7"/>
      <c r="N94" s="7"/>
      <c r="O94" s="7"/>
    </row>
    <row r="95">
      <c r="A95" s="29">
        <f>IFERROR(__xludf.DUMMYFUNCTION("""COMPUTED_VALUE"""),91.0)</f>
        <v>91</v>
      </c>
      <c r="B95" s="7" t="str">
        <f>IFERROR(__xludf.DUMMYFUNCTION("""COMPUTED_VALUE"""),"vor 18 Tagen")</f>
        <v>vor 18 Tagen</v>
      </c>
      <c r="C95" s="7" t="str">
        <f>IFERROR(__xludf.DUMMYFUNCTION("""COMPUTED_VALUE"""),"(Junior) Data Analyst (m/w/d)")</f>
        <v>(Junior) Data Analyst (m/w/d)</v>
      </c>
      <c r="D95" s="7" t="str">
        <f>IFERROR(__xludf.DUMMYFUNCTION("""COMPUTED_VALUE"""),"Baden-Württemberg")</f>
        <v>Baden-Württemberg</v>
      </c>
      <c r="E95" s="7" t="str">
        <f>IFERROR(__xludf.DUMMYFUNCTION("""COMPUTED_VALUE"""),"WG Datemanagement")</f>
        <v>WG Datemanagement</v>
      </c>
      <c r="F95" s="7" t="str">
        <f>IFERROR(__xludf.DUMMYFUNCTION("""COMPUTED_VALUE"""),"None")</f>
        <v>None</v>
      </c>
      <c r="G95" s="7" t="str">
        <f>IFERROR(__xludf.DUMMYFUNCTION("""COMPUTED_VALUE"""),"No salary data")</f>
        <v>No salary data</v>
      </c>
      <c r="H95" s="7" t="str">
        <f>IFERROR(__xludf.DUMMYFUNCTION("""COMPUTED_VALUE"""),"No salary data")</f>
        <v>No salary data</v>
      </c>
      <c r="I95" s="7" t="str">
        <f>IFERROR(__xludf.DUMMYFUNCTION("""COMPUTED_VALUE"""),"No salary data")</f>
        <v>No salary data</v>
      </c>
      <c r="J95" s="7" t="str">
        <f>IFERROR(__xludf.DUMMYFUNCTION("""COMPUTED_VALUE"""),"SQL, Git, Agile")</f>
        <v>SQL, Git, Agile</v>
      </c>
      <c r="K95" s="7" t="str">
        <f>IFERROR(__xludf.DUMMYFUNCTION("""COMPUTED_VALUE"""),"No job type data")</f>
        <v>No job type data</v>
      </c>
      <c r="L95" s="7" t="str">
        <f>IFERROR(__xludf.DUMMYFUNCTION("""COMPUTED_VALUE"""),"None")</f>
        <v>None</v>
      </c>
      <c r="M95" s="7"/>
      <c r="N95" s="7"/>
      <c r="O95" s="7"/>
    </row>
    <row r="96">
      <c r="A96" s="29">
        <f>IFERROR(__xludf.DUMMYFUNCTION("""COMPUTED_VALUE"""),92.0)</f>
        <v>92</v>
      </c>
      <c r="B96" s="7" t="str">
        <f>IFERROR(__xludf.DUMMYFUNCTION("""COMPUTED_VALUE"""),"vor 7 Tagen")</f>
        <v>vor 7 Tagen</v>
      </c>
      <c r="C96" s="7" t="str">
        <f>IFERROR(__xludf.DUMMYFUNCTION("""COMPUTED_VALUE"""),"VIE Data Scientist - Stuttgart, H/F")</f>
        <v>VIE Data Scientist - Stuttgart, H/F</v>
      </c>
      <c r="D96" s="7" t="str">
        <f>IFERROR(__xludf.DUMMYFUNCTION("""COMPUTED_VALUE"""),"Stuttgart")</f>
        <v>Stuttgart</v>
      </c>
      <c r="E96" s="7" t="str">
        <f>IFERROR(__xludf.DUMMYFUNCTION("""COMPUTED_VALUE"""),"BNP Paribas")</f>
        <v>BNP Paribas</v>
      </c>
      <c r="F96" s="7" t="str">
        <f>IFERROR(__xludf.DUMMYFUNCTION("""COMPUTED_VALUE"""),"None")</f>
        <v>None</v>
      </c>
      <c r="G96" s="7" t="str">
        <f>IFERROR(__xludf.DUMMYFUNCTION("""COMPUTED_VALUE"""),"No salary data")</f>
        <v>No salary data</v>
      </c>
      <c r="H96" s="7" t="str">
        <f>IFERROR(__xludf.DUMMYFUNCTION("""COMPUTED_VALUE"""),"No salary data")</f>
        <v>No salary data</v>
      </c>
      <c r="I96" s="7" t="str">
        <f>IFERROR(__xludf.DUMMYFUNCTION("""COMPUTED_VALUE"""),"No salary data")</f>
        <v>No salary data</v>
      </c>
      <c r="J96" s="7" t="str">
        <f>IFERROR(__xludf.DUMMYFUNCTION("""COMPUTED_VALUE"""),"Python, SQL, Tableau")</f>
        <v>Python, SQL, Tableau</v>
      </c>
      <c r="K96" s="7" t="str">
        <f>IFERROR(__xludf.DUMMYFUNCTION("""COMPUTED_VALUE"""),"No job type data")</f>
        <v>No job type data</v>
      </c>
      <c r="L96" s="7" t="str">
        <f>IFERROR(__xludf.DUMMYFUNCTION("""COMPUTED_VALUE"""),"3,9")</f>
        <v>3,9</v>
      </c>
      <c r="M96" s="7"/>
      <c r="N96" s="7"/>
      <c r="O96" s="7"/>
    </row>
    <row r="97">
      <c r="A97" s="29">
        <f>IFERROR(__xludf.DUMMYFUNCTION("""COMPUTED_VALUE"""),93.0)</f>
        <v>93</v>
      </c>
      <c r="B97" s="7" t="str">
        <f>IFERROR(__xludf.DUMMYFUNCTION("""COMPUTED_VALUE"""),"vor 12 Tagen")</f>
        <v>vor 12 Tagen</v>
      </c>
      <c r="C97" s="7" t="str">
        <f>IFERROR(__xludf.DUMMYFUNCTION("""COMPUTED_VALUE"""),"Data Scientist")</f>
        <v>Data Scientist</v>
      </c>
      <c r="D97" s="7" t="str">
        <f>IFERROR(__xludf.DUMMYFUNCTION("""COMPUTED_VALUE"""),"Bremen")</f>
        <v>Bremen</v>
      </c>
      <c r="E97" s="7" t="str">
        <f>IFERROR(__xludf.DUMMYFUNCTION("""COMPUTED_VALUE"""),"planblue")</f>
        <v>planblue</v>
      </c>
      <c r="F97" s="7" t="str">
        <f>IFERROR(__xludf.DUMMYFUNCTION("""COMPUTED_VALUE"""),"None")</f>
        <v>None</v>
      </c>
      <c r="G97" s="7" t="str">
        <f>IFERROR(__xludf.DUMMYFUNCTION("""COMPUTED_VALUE"""),"No salary data")</f>
        <v>No salary data</v>
      </c>
      <c r="H97" s="7" t="str">
        <f>IFERROR(__xludf.DUMMYFUNCTION("""COMPUTED_VALUE"""),"No salary data")</f>
        <v>No salary data</v>
      </c>
      <c r="I97" s="7" t="str">
        <f>IFERROR(__xludf.DUMMYFUNCTION("""COMPUTED_VALUE"""),"No salary data")</f>
        <v>No salary data</v>
      </c>
      <c r="J97" s="7" t="str">
        <f>IFERROR(__xludf.DUMMYFUNCTION("""COMPUTED_VALUE"""),"Python, Machine Learning, Statistic")</f>
        <v>Python, Machine Learning, Statistic</v>
      </c>
      <c r="K97" s="7" t="str">
        <f>IFERROR(__xludf.DUMMYFUNCTION("""COMPUTED_VALUE"""),"Full-Time")</f>
        <v>Full-Time</v>
      </c>
      <c r="L97" s="7" t="str">
        <f>IFERROR(__xludf.DUMMYFUNCTION("""COMPUTED_VALUE"""),"None")</f>
        <v>None</v>
      </c>
      <c r="M97" s="7"/>
      <c r="N97" s="7"/>
      <c r="O97" s="7"/>
    </row>
    <row r="98">
      <c r="A98" s="29">
        <f>IFERROR(__xludf.DUMMYFUNCTION("""COMPUTED_VALUE"""),94.0)</f>
        <v>94</v>
      </c>
      <c r="B98" s="7" t="str">
        <f>IFERROR(__xludf.DUMMYFUNCTION("""COMPUTED_VALUE"""),"Vor mehr als 30 Tagen")</f>
        <v>Vor mehr als 30 Tagen</v>
      </c>
      <c r="C98" s="7" t="str">
        <f>IFERROR(__xludf.DUMMYFUNCTION("""COMPUTED_VALUE"""),"Business Analyst (m/w/d) Business Optimization")</f>
        <v>Business Analyst (m/w/d) Business Optimization</v>
      </c>
      <c r="D98" s="7" t="str">
        <f>IFERROR(__xludf.DUMMYFUNCTION("""COMPUTED_VALUE"""),"Düsseldorf")</f>
        <v>Düsseldorf</v>
      </c>
      <c r="E98" s="7" t="str">
        <f>IFERROR(__xludf.DUMMYFUNCTION("""COMPUTED_VALUE"""),"QVC")</f>
        <v>QVC</v>
      </c>
      <c r="F98" s="7" t="str">
        <f>IFERROR(__xludf.DUMMYFUNCTION("""COMPUTED_VALUE"""),"None")</f>
        <v>None</v>
      </c>
      <c r="G98" s="7" t="str">
        <f>IFERROR(__xludf.DUMMYFUNCTION("""COMPUTED_VALUE"""),"No salary data")</f>
        <v>No salary data</v>
      </c>
      <c r="H98" s="7" t="str">
        <f>IFERROR(__xludf.DUMMYFUNCTION("""COMPUTED_VALUE"""),"No salary data")</f>
        <v>No salary data</v>
      </c>
      <c r="I98" s="7" t="str">
        <f>IFERROR(__xludf.DUMMYFUNCTION("""COMPUTED_VALUE"""),"No salary data")</f>
        <v>No salary data</v>
      </c>
      <c r="J98" s="7" t="str">
        <f>IFERROR(__xludf.DUMMYFUNCTION("""COMPUTED_VALUE"""),"Python, SQL, Excel, Statistic")</f>
        <v>Python, SQL, Excel, Statistic</v>
      </c>
      <c r="K98" s="7" t="str">
        <f>IFERROR(__xludf.DUMMYFUNCTION("""COMPUTED_VALUE"""),"No job type data")</f>
        <v>No job type data</v>
      </c>
      <c r="L98" s="7" t="str">
        <f>IFERROR(__xludf.DUMMYFUNCTION("""COMPUTED_VALUE"""),"3,8")</f>
        <v>3,8</v>
      </c>
      <c r="M98" s="7"/>
      <c r="N98" s="7"/>
      <c r="O98" s="7"/>
    </row>
    <row r="99">
      <c r="A99" s="29">
        <f>IFERROR(__xludf.DUMMYFUNCTION("""COMPUTED_VALUE"""),95.0)</f>
        <v>95</v>
      </c>
      <c r="B99" s="7" t="str">
        <f>IFERROR(__xludf.DUMMYFUNCTION("""COMPUTED_VALUE"""),"Vor mehr als 30 Tagen")</f>
        <v>Vor mehr als 30 Tagen</v>
      </c>
      <c r="C99" s="7" t="str">
        <f>IFERROR(__xludf.DUMMYFUNCTION("""COMPUTED_VALUE"""),"Traineeprogramm (m/w/d) in Technology, Data &amp; Innovation")</f>
        <v>Traineeprogramm (m/w/d) in Technology, Data &amp; Innovation</v>
      </c>
      <c r="D99" s="7" t="str">
        <f>IFERROR(__xludf.DUMMYFUNCTION("""COMPUTED_VALUE"""),"Eschborn")</f>
        <v>Eschborn</v>
      </c>
      <c r="E99" s="7" t="str">
        <f>IFERROR(__xludf.DUMMYFUNCTION("""COMPUTED_VALUE"""),"Deutsche Bank")</f>
        <v>Deutsche Bank</v>
      </c>
      <c r="F99" s="7" t="str">
        <f>IFERROR(__xludf.DUMMYFUNCTION("""COMPUTED_VALUE"""),"None")</f>
        <v>None</v>
      </c>
      <c r="G99" s="7" t="str">
        <f>IFERROR(__xludf.DUMMYFUNCTION("""COMPUTED_VALUE"""),"No salary data")</f>
        <v>No salary data</v>
      </c>
      <c r="H99" s="7" t="str">
        <f>IFERROR(__xludf.DUMMYFUNCTION("""COMPUTED_VALUE"""),"No salary data")</f>
        <v>No salary data</v>
      </c>
      <c r="I99" s="7" t="str">
        <f>IFERROR(__xludf.DUMMYFUNCTION("""COMPUTED_VALUE"""),"No salary data")</f>
        <v>No salary data</v>
      </c>
      <c r="J99" s="7" t="str">
        <f>IFERROR(__xludf.DUMMYFUNCTION("""COMPUTED_VALUE"""),"Git, Agile")</f>
        <v>Git, Agile</v>
      </c>
      <c r="K99" s="7" t="str">
        <f>IFERROR(__xludf.DUMMYFUNCTION("""COMPUTED_VALUE"""),"No job type data")</f>
        <v>No job type data</v>
      </c>
      <c r="L99" s="7" t="str">
        <f>IFERROR(__xludf.DUMMYFUNCTION("""COMPUTED_VALUE"""),"3,8")</f>
        <v>3,8</v>
      </c>
      <c r="M99" s="7"/>
      <c r="N99" s="7"/>
      <c r="O99" s="7"/>
    </row>
    <row r="100">
      <c r="A100" s="29">
        <f>IFERROR(__xludf.DUMMYFUNCTION("""COMPUTED_VALUE"""),96.0)</f>
        <v>96</v>
      </c>
      <c r="B100" s="7" t="str">
        <f>IFERROR(__xludf.DUMMYFUNCTION("""COMPUTED_VALUE"""),"vor 5 Tagen")</f>
        <v>vor 5 Tagen</v>
      </c>
      <c r="C100" s="7" t="str">
        <f>IFERROR(__xludf.DUMMYFUNCTION("""COMPUTED_VALUE"""),"Mitarbeiter Data Mining/Data Science (m/w/d)")</f>
        <v>Mitarbeiter Data Mining/Data Science (m/w/d)</v>
      </c>
      <c r="D100" s="7" t="str">
        <f>IFERROR(__xludf.DUMMYFUNCTION("""COMPUTED_VALUE"""),"Stuttgart")</f>
        <v>Stuttgart</v>
      </c>
      <c r="E100" s="7" t="str">
        <f>IFERROR(__xludf.DUMMYFUNCTION("""COMPUTED_VALUE"""),"AOK Baden-Württemberg")</f>
        <v>AOK Baden-Württemberg</v>
      </c>
      <c r="F100" s="7" t="str">
        <f>IFERROR(__xludf.DUMMYFUNCTION("""COMPUTED_VALUE"""),"None")</f>
        <v>None</v>
      </c>
      <c r="G100" s="7" t="str">
        <f>IFERROR(__xludf.DUMMYFUNCTION("""COMPUTED_VALUE"""),"No salary data")</f>
        <v>No salary data</v>
      </c>
      <c r="H100" s="7" t="str">
        <f>IFERROR(__xludf.DUMMYFUNCTION("""COMPUTED_VALUE"""),"No salary data")</f>
        <v>No salary data</v>
      </c>
      <c r="I100" s="7" t="str">
        <f>IFERROR(__xludf.DUMMYFUNCTION("""COMPUTED_VALUE"""),"No salary data")</f>
        <v>No salary data</v>
      </c>
      <c r="J100" s="7" t="str">
        <f>IFERROR(__xludf.DUMMYFUNCTION("""COMPUTED_VALUE"""),"Python, Tableau, Machine Learning, Deep Learning, Agile")</f>
        <v>Python, Tableau, Machine Learning, Deep Learning, Agile</v>
      </c>
      <c r="K100" s="7" t="str">
        <f>IFERROR(__xludf.DUMMYFUNCTION("""COMPUTED_VALUE"""),"No job type data")</f>
        <v>No job type data</v>
      </c>
      <c r="L100" s="7" t="str">
        <f>IFERROR(__xludf.DUMMYFUNCTION("""COMPUTED_VALUE"""),"None")</f>
        <v>None</v>
      </c>
      <c r="M100" s="7"/>
      <c r="N100" s="7"/>
      <c r="O100" s="7"/>
    </row>
    <row r="101">
      <c r="A101" s="29">
        <f>IFERROR(__xludf.DUMMYFUNCTION("""COMPUTED_VALUE"""),97.0)</f>
        <v>97</v>
      </c>
      <c r="B101" s="7" t="str">
        <f>IFERROR(__xludf.DUMMYFUNCTION("""COMPUTED_VALUE"""),"Vor mehr als 30 Tagen")</f>
        <v>Vor mehr als 30 Tagen</v>
      </c>
      <c r="C101" s="7" t="str">
        <f>IFERROR(__xludf.DUMMYFUNCTION("""COMPUTED_VALUE"""),"(Junior) Business Intelligence Developer/Data Warehouse (m/w...")</f>
        <v>(Junior) Business Intelligence Developer/Data Warehouse (m/w...</v>
      </c>
      <c r="D101" s="7" t="str">
        <f>IFERROR(__xludf.DUMMYFUNCTION("""COMPUTED_VALUE"""),"Nürnberg")</f>
        <v>Nürnberg</v>
      </c>
      <c r="E101" s="7" t="str">
        <f>IFERROR(__xludf.DUMMYFUNCTION("""COMPUTED_VALUE"""),"immowelt")</f>
        <v>immowelt</v>
      </c>
      <c r="F101" s="7" t="str">
        <f>IFERROR(__xludf.DUMMYFUNCTION("""COMPUTED_VALUE"""),"None")</f>
        <v>None</v>
      </c>
      <c r="G101" s="7" t="str">
        <f>IFERROR(__xludf.DUMMYFUNCTION("""COMPUTED_VALUE"""),"No salary data")</f>
        <v>No salary data</v>
      </c>
      <c r="H101" s="7" t="str">
        <f>IFERROR(__xludf.DUMMYFUNCTION("""COMPUTED_VALUE"""),"No salary data")</f>
        <v>No salary data</v>
      </c>
      <c r="I101" s="7" t="str">
        <f>IFERROR(__xludf.DUMMYFUNCTION("""COMPUTED_VALUE"""),"No salary data")</f>
        <v>No salary data</v>
      </c>
      <c r="J101" s="7" t="str">
        <f>IFERROR(__xludf.DUMMYFUNCTION("""COMPUTED_VALUE"""),"Python, SQL")</f>
        <v>Python, SQL</v>
      </c>
      <c r="K101" s="7" t="str">
        <f>IFERROR(__xludf.DUMMYFUNCTION("""COMPUTED_VALUE"""),"No job type data")</f>
        <v>No job type data</v>
      </c>
      <c r="L101" s="7" t="str">
        <f>IFERROR(__xludf.DUMMYFUNCTION("""COMPUTED_VALUE"""),"None")</f>
        <v>None</v>
      </c>
      <c r="M101" s="7"/>
      <c r="N101" s="7"/>
      <c r="O101" s="7"/>
    </row>
    <row r="102">
      <c r="A102" s="29">
        <f>IFERROR(__xludf.DUMMYFUNCTION("""COMPUTED_VALUE"""),98.0)</f>
        <v>98</v>
      </c>
      <c r="B102" s="7" t="str">
        <f>IFERROR(__xludf.DUMMYFUNCTION("""COMPUTED_VALUE"""),"Vor mehr als 30 Tagen")</f>
        <v>Vor mehr als 30 Tagen</v>
      </c>
      <c r="C102" s="7" t="str">
        <f>IFERROR(__xludf.DUMMYFUNCTION("""COMPUTED_VALUE"""),"DATA SCIENCE CONSULTANT FRANKFURT/DÜSSELDORF")</f>
        <v>DATA SCIENCE CONSULTANT FRANKFURT/DÜSSELDORF</v>
      </c>
      <c r="D102" s="7" t="str">
        <f>IFERROR(__xludf.DUMMYFUNCTION("""COMPUTED_VALUE"""),"Frankfurt am Main")</f>
        <v>Frankfurt am Main</v>
      </c>
      <c r="E102" s="7" t="str">
        <f>IFERROR(__xludf.DUMMYFUNCTION("""COMPUTED_VALUE"""),"managementsolutions")</f>
        <v>managementsolutions</v>
      </c>
      <c r="F102" s="7" t="str">
        <f>IFERROR(__xludf.DUMMYFUNCTION("""COMPUTED_VALUE"""),"None")</f>
        <v>None</v>
      </c>
      <c r="G102" s="7" t="str">
        <f>IFERROR(__xludf.DUMMYFUNCTION("""COMPUTED_VALUE"""),"No salary data")</f>
        <v>No salary data</v>
      </c>
      <c r="H102" s="7" t="str">
        <f>IFERROR(__xludf.DUMMYFUNCTION("""COMPUTED_VALUE"""),"No salary data")</f>
        <v>No salary data</v>
      </c>
      <c r="I102" s="7" t="str">
        <f>IFERROR(__xludf.DUMMYFUNCTION("""COMPUTED_VALUE"""),"No salary data")</f>
        <v>No salary data</v>
      </c>
      <c r="J102" s="7" t="str">
        <f>IFERROR(__xludf.DUMMYFUNCTION("""COMPUTED_VALUE"""),"Python, Statistic, Git")</f>
        <v>Python, Statistic, Git</v>
      </c>
      <c r="K102" s="7" t="str">
        <f>IFERROR(__xludf.DUMMYFUNCTION("""COMPUTED_VALUE"""),"No job type data")</f>
        <v>No job type data</v>
      </c>
      <c r="L102" s="7" t="str">
        <f>IFERROR(__xludf.DUMMYFUNCTION("""COMPUTED_VALUE"""),"None")</f>
        <v>None</v>
      </c>
      <c r="M102" s="7"/>
      <c r="N102" s="7"/>
      <c r="O102" s="7"/>
    </row>
    <row r="103">
      <c r="A103" s="29">
        <f>IFERROR(__xludf.DUMMYFUNCTION("""COMPUTED_VALUE"""),99.0)</f>
        <v>99</v>
      </c>
      <c r="B103" s="7" t="str">
        <f>IFERROR(__xludf.DUMMYFUNCTION("""COMPUTED_VALUE"""),"Vor mehr als 30 Tagen")</f>
        <v>Vor mehr als 30 Tagen</v>
      </c>
      <c r="C103" s="7" t="str">
        <f>IFERROR(__xludf.DUMMYFUNCTION("""COMPUTED_VALUE"""),"Data Scientist (m/w/d)")</f>
        <v>Data Scientist (m/w/d)</v>
      </c>
      <c r="D103" s="7" t="str">
        <f>IFERROR(__xludf.DUMMYFUNCTION("""COMPUTED_VALUE"""),"Karlsruhe")</f>
        <v>Karlsruhe</v>
      </c>
      <c r="E103" s="7" t="str">
        <f>IFERROR(__xludf.DUMMYFUNCTION("""COMPUTED_VALUE"""),"Knuddels")</f>
        <v>Knuddels</v>
      </c>
      <c r="F103" s="7" t="str">
        <f>IFERROR(__xludf.DUMMYFUNCTION("""COMPUTED_VALUE"""),"None")</f>
        <v>None</v>
      </c>
      <c r="G103" s="7" t="str">
        <f>IFERROR(__xludf.DUMMYFUNCTION("""COMPUTED_VALUE"""),"No salary data")</f>
        <v>No salary data</v>
      </c>
      <c r="H103" s="7" t="str">
        <f>IFERROR(__xludf.DUMMYFUNCTION("""COMPUTED_VALUE"""),"No salary data")</f>
        <v>No salary data</v>
      </c>
      <c r="I103" s="7" t="str">
        <f>IFERROR(__xludf.DUMMYFUNCTION("""COMPUTED_VALUE"""),"No salary data")</f>
        <v>No salary data</v>
      </c>
      <c r="J103" s="7" t="str">
        <f>IFERROR(__xludf.DUMMYFUNCTION("""COMPUTED_VALUE"""),"Python, Machine Learning")</f>
        <v>Python, Machine Learning</v>
      </c>
      <c r="K103" s="7" t="str">
        <f>IFERROR(__xludf.DUMMYFUNCTION("""COMPUTED_VALUE"""),"No job type data")</f>
        <v>No job type data</v>
      </c>
      <c r="L103" s="7" t="str">
        <f>IFERROR(__xludf.DUMMYFUNCTION("""COMPUTED_VALUE"""),"None")</f>
        <v>None</v>
      </c>
      <c r="M103" s="7"/>
      <c r="N103" s="7"/>
      <c r="O103" s="7"/>
    </row>
    <row r="104">
      <c r="A104" s="29">
        <f>IFERROR(__xludf.DUMMYFUNCTION("""COMPUTED_VALUE"""),100.0)</f>
        <v>100</v>
      </c>
      <c r="B104" s="7" t="str">
        <f>IFERROR(__xludf.DUMMYFUNCTION("""COMPUTED_VALUE"""),"vor 7 Tagen")</f>
        <v>vor 7 Tagen</v>
      </c>
      <c r="C104" s="7" t="str">
        <f>IFERROR(__xludf.DUMMYFUNCTION("""COMPUTED_VALUE"""),"BI Data Analyst (m/f/d)")</f>
        <v>BI Data Analyst (m/f/d)</v>
      </c>
      <c r="D104" s="7" t="str">
        <f>IFERROR(__xludf.DUMMYFUNCTION("""COMPUTED_VALUE"""),"Wuppertal")</f>
        <v>Wuppertal</v>
      </c>
      <c r="E104" s="7" t="str">
        <f>IFERROR(__xludf.DUMMYFUNCTION("""COMPUTED_VALUE"""),"Vorwerk Services GmbH")</f>
        <v>Vorwerk Services GmbH</v>
      </c>
      <c r="F104" s="7" t="str">
        <f>IFERROR(__xludf.DUMMYFUNCTION("""COMPUTED_VALUE"""),"None")</f>
        <v>None</v>
      </c>
      <c r="G104" s="7" t="str">
        <f>IFERROR(__xludf.DUMMYFUNCTION("""COMPUTED_VALUE"""),"No salary data")</f>
        <v>No salary data</v>
      </c>
      <c r="H104" s="7" t="str">
        <f>IFERROR(__xludf.DUMMYFUNCTION("""COMPUTED_VALUE"""),"No salary data")</f>
        <v>No salary data</v>
      </c>
      <c r="I104" s="7" t="str">
        <f>IFERROR(__xludf.DUMMYFUNCTION("""COMPUTED_VALUE"""),"No salary data")</f>
        <v>No salary data</v>
      </c>
      <c r="J104" s="7" t="str">
        <f>IFERROR(__xludf.DUMMYFUNCTION("""COMPUTED_VALUE"""),"Python, SQL")</f>
        <v>Python, SQL</v>
      </c>
      <c r="K104" s="7" t="str">
        <f>IFERROR(__xludf.DUMMYFUNCTION("""COMPUTED_VALUE"""),"No job type data")</f>
        <v>No job type data</v>
      </c>
      <c r="L104" s="7" t="str">
        <f>IFERROR(__xludf.DUMMYFUNCTION("""COMPUTED_VALUE"""),"3,7")</f>
        <v>3,7</v>
      </c>
      <c r="M104" s="7"/>
      <c r="N104" s="7"/>
      <c r="O104" s="7"/>
    </row>
    <row r="105">
      <c r="A105" s="29">
        <f>IFERROR(__xludf.DUMMYFUNCTION("""COMPUTED_VALUE"""),101.0)</f>
        <v>101</v>
      </c>
      <c r="B105" s="7" t="str">
        <f>IFERROR(__xludf.DUMMYFUNCTION("""COMPUTED_VALUE"""),"vor 3 Tagen")</f>
        <v>vor 3 Tagen</v>
      </c>
      <c r="C105" s="7" t="str">
        <f>IFERROR(__xludf.DUMMYFUNCTION("""COMPUTED_VALUE"""),"(Junior) Developer (f/m/d) for Master Data Service")</f>
        <v>(Junior) Developer (f/m/d) for Master Data Service</v>
      </c>
      <c r="D105" s="7" t="str">
        <f>IFERROR(__xludf.DUMMYFUNCTION("""COMPUTED_VALUE"""),"Potsdam")</f>
        <v>Potsdam</v>
      </c>
      <c r="E105" s="7" t="str">
        <f>IFERROR(__xludf.DUMMYFUNCTION("""COMPUTED_VALUE"""),"SAP")</f>
        <v>SAP</v>
      </c>
      <c r="F105" s="7" t="str">
        <f>IFERROR(__xludf.DUMMYFUNCTION("""COMPUTED_VALUE"""),"None")</f>
        <v>None</v>
      </c>
      <c r="G105" s="7" t="str">
        <f>IFERROR(__xludf.DUMMYFUNCTION("""COMPUTED_VALUE"""),"No salary data")</f>
        <v>No salary data</v>
      </c>
      <c r="H105" s="7" t="str">
        <f>IFERROR(__xludf.DUMMYFUNCTION("""COMPUTED_VALUE"""),"No salary data")</f>
        <v>No salary data</v>
      </c>
      <c r="I105" s="7" t="str">
        <f>IFERROR(__xludf.DUMMYFUNCTION("""COMPUTED_VALUE"""),"No salary data")</f>
        <v>No salary data</v>
      </c>
      <c r="J105" s="7" t="str">
        <f>IFERROR(__xludf.DUMMYFUNCTION("""COMPUTED_VALUE"""),"Machine Learning")</f>
        <v>Machine Learning</v>
      </c>
      <c r="K105" s="7" t="str">
        <f>IFERROR(__xludf.DUMMYFUNCTION("""COMPUTED_VALUE"""),"Part-Time")</f>
        <v>Part-Time</v>
      </c>
      <c r="L105" s="7" t="str">
        <f>IFERROR(__xludf.DUMMYFUNCTION("""COMPUTED_VALUE"""),"4,3")</f>
        <v>4,3</v>
      </c>
      <c r="M105" s="7"/>
      <c r="N105" s="7"/>
      <c r="O105" s="7"/>
    </row>
    <row r="106">
      <c r="A106" s="29">
        <f>IFERROR(__xludf.DUMMYFUNCTION("""COMPUTED_VALUE"""),102.0)</f>
        <v>102</v>
      </c>
      <c r="B106" s="7" t="str">
        <f>IFERROR(__xludf.DUMMYFUNCTION("""COMPUTED_VALUE"""),"vor 12 Tagen")</f>
        <v>vor 12 Tagen</v>
      </c>
      <c r="C106" s="7" t="str">
        <f>IFERROR(__xludf.DUMMYFUNCTION("""COMPUTED_VALUE"""),"Manufacturing Data Science Internship, Stamping (m/w/d) - Gi...")</f>
        <v>Manufacturing Data Science Internship, Stamping (m/w/d) - Gi...</v>
      </c>
      <c r="D106" s="7" t="str">
        <f>IFERROR(__xludf.DUMMYFUNCTION("""COMPUTED_VALUE"""),"Grünheide (Mark)")</f>
        <v>Grünheide (Mark)</v>
      </c>
      <c r="E106" s="7" t="str">
        <f>IFERROR(__xludf.DUMMYFUNCTION("""COMPUTED_VALUE"""),"Tesla")</f>
        <v>Tesla</v>
      </c>
      <c r="F106" s="7" t="str">
        <f>IFERROR(__xludf.DUMMYFUNCTION("""COMPUTED_VALUE"""),"None")</f>
        <v>None</v>
      </c>
      <c r="G106" s="7" t="str">
        <f>IFERROR(__xludf.DUMMYFUNCTION("""COMPUTED_VALUE"""),"No salary data")</f>
        <v>No salary data</v>
      </c>
      <c r="H106" s="7" t="str">
        <f>IFERROR(__xludf.DUMMYFUNCTION("""COMPUTED_VALUE"""),"No salary data")</f>
        <v>No salary data</v>
      </c>
      <c r="I106" s="7" t="str">
        <f>IFERROR(__xludf.DUMMYFUNCTION("""COMPUTED_VALUE"""),"No salary data")</f>
        <v>No salary data</v>
      </c>
      <c r="J106" s="7" t="str">
        <f>IFERROR(__xludf.DUMMYFUNCTION("""COMPUTED_VALUE"""),"Python, SQL, Machine Learning, Statistic")</f>
        <v>Python, SQL, Machine Learning, Statistic</v>
      </c>
      <c r="K106" s="7" t="str">
        <f>IFERROR(__xludf.DUMMYFUNCTION("""COMPUTED_VALUE"""),"Internship")</f>
        <v>Internship</v>
      </c>
      <c r="L106" s="7" t="str">
        <f>IFERROR(__xludf.DUMMYFUNCTION("""COMPUTED_VALUE"""),"3,5")</f>
        <v>3,5</v>
      </c>
      <c r="M106" s="7"/>
      <c r="N106" s="7"/>
      <c r="O106" s="7"/>
    </row>
    <row r="107">
      <c r="A107" s="29">
        <f>IFERROR(__xludf.DUMMYFUNCTION("""COMPUTED_VALUE"""),103.0)</f>
        <v>103</v>
      </c>
      <c r="B107" s="7" t="str">
        <f>IFERROR(__xludf.DUMMYFUNCTION("""COMPUTED_VALUE"""),"vor 6 Tagen")</f>
        <v>vor 6 Tagen</v>
      </c>
      <c r="C107" s="7" t="str">
        <f>IFERROR(__xludf.DUMMYFUNCTION("""COMPUTED_VALUE"""),"Data Scientist (d/m/f)")</f>
        <v>Data Scientist (d/m/f)</v>
      </c>
      <c r="D107" s="7" t="str">
        <f>IFERROR(__xludf.DUMMYFUNCTION("""COMPUTED_VALUE"""),"Berlin")</f>
        <v>Berlin</v>
      </c>
      <c r="E107" s="7" t="str">
        <f>IFERROR(__xludf.DUMMYFUNCTION("""COMPUTED_VALUE"""),"Bayes Esports")</f>
        <v>Bayes Esports</v>
      </c>
      <c r="F107" s="7" t="str">
        <f>IFERROR(__xludf.DUMMYFUNCTION("""COMPUTED_VALUE"""),"None")</f>
        <v>None</v>
      </c>
      <c r="G107" s="7" t="str">
        <f>IFERROR(__xludf.DUMMYFUNCTION("""COMPUTED_VALUE"""),"No salary data")</f>
        <v>No salary data</v>
      </c>
      <c r="H107" s="7" t="str">
        <f>IFERROR(__xludf.DUMMYFUNCTION("""COMPUTED_VALUE"""),"No salary data")</f>
        <v>No salary data</v>
      </c>
      <c r="I107" s="7" t="str">
        <f>IFERROR(__xludf.DUMMYFUNCTION("""COMPUTED_VALUE"""),"No salary data")</f>
        <v>No salary data</v>
      </c>
      <c r="J107" s="7" t="str">
        <f>IFERROR(__xludf.DUMMYFUNCTION("""COMPUTED_VALUE"""),"Python, SQL, Machine Learning, Statistic, Git")</f>
        <v>Python, SQL, Machine Learning, Statistic, Git</v>
      </c>
      <c r="K107" s="7" t="str">
        <f>IFERROR(__xludf.DUMMYFUNCTION("""COMPUTED_VALUE"""),"No job type data")</f>
        <v>No job type data</v>
      </c>
      <c r="L107" s="7" t="str">
        <f>IFERROR(__xludf.DUMMYFUNCTION("""COMPUTED_VALUE"""),"None")</f>
        <v>None</v>
      </c>
      <c r="M107" s="7"/>
      <c r="N107" s="7"/>
      <c r="O107" s="7"/>
    </row>
    <row r="108">
      <c r="A108" s="29">
        <f>IFERROR(__xludf.DUMMYFUNCTION("""COMPUTED_VALUE"""),104.0)</f>
        <v>104</v>
      </c>
      <c r="B108" s="7" t="str">
        <f>IFERROR(__xludf.DUMMYFUNCTION("""COMPUTED_VALUE"""),"vor 6 Tagen")</f>
        <v>vor 6 Tagen</v>
      </c>
      <c r="C108" s="7" t="str">
        <f>IFERROR(__xludf.DUMMYFUNCTION("""COMPUTED_VALUE"""),"Data Scientist (M/W/D)")</f>
        <v>Data Scientist (M/W/D)</v>
      </c>
      <c r="D108" s="7" t="str">
        <f>IFERROR(__xludf.DUMMYFUNCTION("""COMPUTED_VALUE"""),"München")</f>
        <v>München</v>
      </c>
      <c r="E108" s="7" t="str">
        <f>IFERROR(__xludf.DUMMYFUNCTION("""COMPUTED_VALUE"""),"Technology &amp; Strategy")</f>
        <v>Technology &amp; Strategy</v>
      </c>
      <c r="F108" s="7" t="str">
        <f>IFERROR(__xludf.DUMMYFUNCTION("""COMPUTED_VALUE"""),"None")</f>
        <v>None</v>
      </c>
      <c r="G108" s="7" t="str">
        <f>IFERROR(__xludf.DUMMYFUNCTION("""COMPUTED_VALUE"""),"No salary data")</f>
        <v>No salary data</v>
      </c>
      <c r="H108" s="7" t="str">
        <f>IFERROR(__xludf.DUMMYFUNCTION("""COMPUTED_VALUE"""),"No salary data")</f>
        <v>No salary data</v>
      </c>
      <c r="I108" s="7" t="str">
        <f>IFERROR(__xludf.DUMMYFUNCTION("""COMPUTED_VALUE"""),"No salary data")</f>
        <v>No salary data</v>
      </c>
      <c r="J108" s="7" t="str">
        <f>IFERROR(__xludf.DUMMYFUNCTION("""COMPUTED_VALUE"""),"Python, SQL, Tableau, Machine Learning")</f>
        <v>Python, SQL, Tableau, Machine Learning</v>
      </c>
      <c r="K108" s="7" t="str">
        <f>IFERROR(__xludf.DUMMYFUNCTION("""COMPUTED_VALUE"""),"No job type data")</f>
        <v>No job type data</v>
      </c>
      <c r="L108" s="7" t="str">
        <f>IFERROR(__xludf.DUMMYFUNCTION("""COMPUTED_VALUE"""),"None")</f>
        <v>None</v>
      </c>
      <c r="M108" s="7"/>
      <c r="N108" s="7"/>
      <c r="O108" s="7"/>
    </row>
    <row r="109">
      <c r="A109" s="29">
        <f>IFERROR(__xludf.DUMMYFUNCTION("""COMPUTED_VALUE"""),105.0)</f>
        <v>105</v>
      </c>
      <c r="B109" s="7" t="str">
        <f>IFERROR(__xludf.DUMMYFUNCTION("""COMPUTED_VALUE"""),"vor 6 Tagen")</f>
        <v>vor 6 Tagen</v>
      </c>
      <c r="C109" s="7" t="str">
        <f>IFERROR(__xludf.DUMMYFUNCTION("""COMPUTED_VALUE"""),"Trainee Analytics &amp; Reporting international (m/w/d)")</f>
        <v>Trainee Analytics &amp; Reporting international (m/w/d)</v>
      </c>
      <c r="D109" s="7" t="str">
        <f>IFERROR(__xludf.DUMMYFUNCTION("""COMPUTED_VALUE"""),"Bonn")</f>
        <v>Bonn</v>
      </c>
      <c r="E109" s="7" t="str">
        <f>IFERROR(__xludf.DUMMYFUNCTION("""COMPUTED_VALUE"""),"DHL Human Resources")</f>
        <v>DHL Human Resources</v>
      </c>
      <c r="F109" s="7" t="str">
        <f>IFERROR(__xludf.DUMMYFUNCTION("""COMPUTED_VALUE"""),"None")</f>
        <v>None</v>
      </c>
      <c r="G109" s="7" t="str">
        <f>IFERROR(__xludf.DUMMYFUNCTION("""COMPUTED_VALUE"""),"No salary data")</f>
        <v>No salary data</v>
      </c>
      <c r="H109" s="7" t="str">
        <f>IFERROR(__xludf.DUMMYFUNCTION("""COMPUTED_VALUE"""),"No salary data")</f>
        <v>No salary data</v>
      </c>
      <c r="I109" s="7" t="str">
        <f>IFERROR(__xludf.DUMMYFUNCTION("""COMPUTED_VALUE"""),"No salary data")</f>
        <v>No salary data</v>
      </c>
      <c r="J109" s="7" t="str">
        <f>IFERROR(__xludf.DUMMYFUNCTION("""COMPUTED_VALUE"""),"Python, SQL")</f>
        <v>Python, SQL</v>
      </c>
      <c r="K109" s="7" t="str">
        <f>IFERROR(__xludf.DUMMYFUNCTION("""COMPUTED_VALUE"""),"No job type data")</f>
        <v>No job type data</v>
      </c>
      <c r="L109" s="7" t="str">
        <f>IFERROR(__xludf.DUMMYFUNCTION("""COMPUTED_VALUE"""),"None")</f>
        <v>None</v>
      </c>
      <c r="M109" s="7"/>
      <c r="N109" s="7"/>
      <c r="O109" s="7"/>
    </row>
    <row r="110">
      <c r="A110" s="29">
        <f>IFERROR(__xludf.DUMMYFUNCTION("""COMPUTED_VALUE"""),106.0)</f>
        <v>106</v>
      </c>
      <c r="B110" s="7" t="str">
        <f>IFERROR(__xludf.DUMMYFUNCTION("""COMPUTED_VALUE"""),"Vor mehr als 30 Tagen")</f>
        <v>Vor mehr als 30 Tagen</v>
      </c>
      <c r="C110" s="7" t="str">
        <f>IFERROR(__xludf.DUMMYFUNCTION("""COMPUTED_VALUE"""),"Working Student for Software Development (M/W/D/R)")</f>
        <v>Working Student for Software Development (M/W/D/R)</v>
      </c>
      <c r="D110" s="7" t="str">
        <f>IFERROR(__xludf.DUMMYFUNCTION("""COMPUTED_VALUE"""),"Leonberg")</f>
        <v>Leonberg</v>
      </c>
      <c r="E110" s="7" t="str">
        <f>IFERROR(__xludf.DUMMYFUNCTION("""COMPUTED_VALUE"""),"LEON Mobility")</f>
        <v>LEON Mobility</v>
      </c>
      <c r="F110" s="7" t="str">
        <f>IFERROR(__xludf.DUMMYFUNCTION("""COMPUTED_VALUE"""),"None")</f>
        <v>None</v>
      </c>
      <c r="G110" s="7" t="str">
        <f>IFERROR(__xludf.DUMMYFUNCTION("""COMPUTED_VALUE"""),"No salary data")</f>
        <v>No salary data</v>
      </c>
      <c r="H110" s="7" t="str">
        <f>IFERROR(__xludf.DUMMYFUNCTION("""COMPUTED_VALUE"""),"No salary data")</f>
        <v>No salary data</v>
      </c>
      <c r="I110" s="7" t="str">
        <f>IFERROR(__xludf.DUMMYFUNCTION("""COMPUTED_VALUE"""),"No salary data")</f>
        <v>No salary data</v>
      </c>
      <c r="J110" s="7" t="str">
        <f>IFERROR(__xludf.DUMMYFUNCTION("""COMPUTED_VALUE"""),"Python, SQL, Machine Learning, Git, Agile")</f>
        <v>Python, SQL, Machine Learning, Git, Agile</v>
      </c>
      <c r="K110" s="7" t="str">
        <f>IFERROR(__xludf.DUMMYFUNCTION("""COMPUTED_VALUE"""),"No job type data")</f>
        <v>No job type data</v>
      </c>
      <c r="L110" s="7" t="str">
        <f>IFERROR(__xludf.DUMMYFUNCTION("""COMPUTED_VALUE"""),"None")</f>
        <v>None</v>
      </c>
      <c r="M110" s="7"/>
      <c r="N110" s="7"/>
      <c r="O110" s="7"/>
    </row>
    <row r="111">
      <c r="A111" s="29">
        <f>IFERROR(__xludf.DUMMYFUNCTION("""COMPUTED_VALUE"""),107.0)</f>
        <v>107</v>
      </c>
      <c r="B111" s="7" t="str">
        <f>IFERROR(__xludf.DUMMYFUNCTION("""COMPUTED_VALUE"""),"Vor mehr als 30 Tagen")</f>
        <v>Vor mehr als 30 Tagen</v>
      </c>
      <c r="C111" s="7" t="str">
        <f>IFERROR(__xludf.DUMMYFUNCTION("""COMPUTED_VALUE"""),"Junior Data Analytics Consultant (m/w/d)")</f>
        <v>Junior Data Analytics Consultant (m/w/d)</v>
      </c>
      <c r="D111" s="7" t="str">
        <f>IFERROR(__xludf.DUMMYFUNCTION("""COMPUTED_VALUE"""),"Friedrichshafen")</f>
        <v>Friedrichshafen</v>
      </c>
      <c r="E111" s="7" t="str">
        <f>IFERROR(__xludf.DUMMYFUNCTION("""COMPUTED_VALUE"""),"doubleSlash Net-Business GmbH")</f>
        <v>doubleSlash Net-Business GmbH</v>
      </c>
      <c r="F111" s="7" t="str">
        <f>IFERROR(__xludf.DUMMYFUNCTION("""COMPUTED_VALUE"""),"None")</f>
        <v>None</v>
      </c>
      <c r="G111" s="7" t="str">
        <f>IFERROR(__xludf.DUMMYFUNCTION("""COMPUTED_VALUE"""),"No salary data")</f>
        <v>No salary data</v>
      </c>
      <c r="H111" s="7" t="str">
        <f>IFERROR(__xludf.DUMMYFUNCTION("""COMPUTED_VALUE"""),"No salary data")</f>
        <v>No salary data</v>
      </c>
      <c r="I111" s="7" t="str">
        <f>IFERROR(__xludf.DUMMYFUNCTION("""COMPUTED_VALUE"""),"No salary data")</f>
        <v>No salary data</v>
      </c>
      <c r="J111" s="7" t="str">
        <f>IFERROR(__xludf.DUMMYFUNCTION("""COMPUTED_VALUE"""),"Python, SQL, Tableau")</f>
        <v>Python, SQL, Tableau</v>
      </c>
      <c r="K111" s="7" t="str">
        <f>IFERROR(__xludf.DUMMYFUNCTION("""COMPUTED_VALUE"""),"No job type data")</f>
        <v>No job type data</v>
      </c>
      <c r="L111" s="7" t="str">
        <f>IFERROR(__xludf.DUMMYFUNCTION("""COMPUTED_VALUE"""),"None")</f>
        <v>None</v>
      </c>
      <c r="M111" s="7"/>
      <c r="N111" s="7"/>
      <c r="O111" s="7"/>
    </row>
    <row r="112">
      <c r="A112" s="29">
        <f>IFERROR(__xludf.DUMMYFUNCTION("""COMPUTED_VALUE"""),108.0)</f>
        <v>108</v>
      </c>
      <c r="B112" s="7" t="str">
        <f>IFERROR(__xludf.DUMMYFUNCTION("""COMPUTED_VALUE"""),"vor 6 Tagen")</f>
        <v>vor 6 Tagen</v>
      </c>
      <c r="C112" s="7" t="str">
        <f>IFERROR(__xludf.DUMMYFUNCTION("""COMPUTED_VALUE"""),"Data Scientist (d/m/f)")</f>
        <v>Data Scientist (d/m/f)</v>
      </c>
      <c r="D112" s="7" t="str">
        <f>IFERROR(__xludf.DUMMYFUNCTION("""COMPUTED_VALUE"""),"Berlin")</f>
        <v>Berlin</v>
      </c>
      <c r="E112" s="7" t="str">
        <f>IFERROR(__xludf.DUMMYFUNCTION("""COMPUTED_VALUE"""),"Bayes Esports")</f>
        <v>Bayes Esports</v>
      </c>
      <c r="F112" s="7" t="str">
        <f>IFERROR(__xludf.DUMMYFUNCTION("""COMPUTED_VALUE"""),"None")</f>
        <v>None</v>
      </c>
      <c r="G112" s="7" t="str">
        <f>IFERROR(__xludf.DUMMYFUNCTION("""COMPUTED_VALUE"""),"No salary data")</f>
        <v>No salary data</v>
      </c>
      <c r="H112" s="7" t="str">
        <f>IFERROR(__xludf.DUMMYFUNCTION("""COMPUTED_VALUE"""),"No salary data")</f>
        <v>No salary data</v>
      </c>
      <c r="I112" s="7" t="str">
        <f>IFERROR(__xludf.DUMMYFUNCTION("""COMPUTED_VALUE"""),"No salary data")</f>
        <v>No salary data</v>
      </c>
      <c r="J112" s="7" t="str">
        <f>IFERROR(__xludf.DUMMYFUNCTION("""COMPUTED_VALUE"""),"Python, SQL, Machine Learning, Statistic, Git")</f>
        <v>Python, SQL, Machine Learning, Statistic, Git</v>
      </c>
      <c r="K112" s="7" t="str">
        <f>IFERROR(__xludf.DUMMYFUNCTION("""COMPUTED_VALUE"""),"No job type data")</f>
        <v>No job type data</v>
      </c>
      <c r="L112" s="7" t="str">
        <f>IFERROR(__xludf.DUMMYFUNCTION("""COMPUTED_VALUE"""),"None")</f>
        <v>None</v>
      </c>
      <c r="M112" s="7"/>
      <c r="N112" s="7"/>
      <c r="O112" s="7"/>
    </row>
    <row r="113">
      <c r="A113" s="29">
        <f>IFERROR(__xludf.DUMMYFUNCTION("""COMPUTED_VALUE"""),109.0)</f>
        <v>109</v>
      </c>
      <c r="B113" s="7" t="str">
        <f>IFERROR(__xludf.DUMMYFUNCTION("""COMPUTED_VALUE"""),"vor 12 Tagen")</f>
        <v>vor 12 Tagen</v>
      </c>
      <c r="C113" s="7" t="str">
        <f>IFERROR(__xludf.DUMMYFUNCTION("""COMPUTED_VALUE"""),"Data Scientist")</f>
        <v>Data Scientist</v>
      </c>
      <c r="D113" s="7" t="str">
        <f>IFERROR(__xludf.DUMMYFUNCTION("""COMPUTED_VALUE"""),"Bremen")</f>
        <v>Bremen</v>
      </c>
      <c r="E113" s="7" t="str">
        <f>IFERROR(__xludf.DUMMYFUNCTION("""COMPUTED_VALUE"""),"planblue")</f>
        <v>planblue</v>
      </c>
      <c r="F113" s="7" t="str">
        <f>IFERROR(__xludf.DUMMYFUNCTION("""COMPUTED_VALUE"""),"None")</f>
        <v>None</v>
      </c>
      <c r="G113" s="7" t="str">
        <f>IFERROR(__xludf.DUMMYFUNCTION("""COMPUTED_VALUE"""),"No salary data")</f>
        <v>No salary data</v>
      </c>
      <c r="H113" s="7" t="str">
        <f>IFERROR(__xludf.DUMMYFUNCTION("""COMPUTED_VALUE"""),"No salary data")</f>
        <v>No salary data</v>
      </c>
      <c r="I113" s="7" t="str">
        <f>IFERROR(__xludf.DUMMYFUNCTION("""COMPUTED_VALUE"""),"No salary data")</f>
        <v>No salary data</v>
      </c>
      <c r="J113" s="7" t="str">
        <f>IFERROR(__xludf.DUMMYFUNCTION("""COMPUTED_VALUE"""),"Python, Machine Learning, Statistic")</f>
        <v>Python, Machine Learning, Statistic</v>
      </c>
      <c r="K113" s="7" t="str">
        <f>IFERROR(__xludf.DUMMYFUNCTION("""COMPUTED_VALUE"""),"Full-Time")</f>
        <v>Full-Time</v>
      </c>
      <c r="L113" s="7" t="str">
        <f>IFERROR(__xludf.DUMMYFUNCTION("""COMPUTED_VALUE"""),"None")</f>
        <v>None</v>
      </c>
      <c r="M113" s="7"/>
      <c r="N113" s="7"/>
      <c r="O113" s="7"/>
    </row>
    <row r="114">
      <c r="A114" s="29">
        <f>IFERROR(__xludf.DUMMYFUNCTION("""COMPUTED_VALUE"""),110.0)</f>
        <v>110</v>
      </c>
      <c r="B114" s="7" t="str">
        <f>IFERROR(__xludf.DUMMYFUNCTION("""COMPUTED_VALUE"""),"Vor mehr als 30 Tagen")</f>
        <v>Vor mehr als 30 Tagen</v>
      </c>
      <c r="C114" s="7" t="str">
        <f>IFERROR(__xludf.DUMMYFUNCTION("""COMPUTED_VALUE"""),"Data Scientist Advanced Analytics (m/w/d)")</f>
        <v>Data Scientist Advanced Analytics (m/w/d)</v>
      </c>
      <c r="D114" s="7" t="str">
        <f>IFERROR(__xludf.DUMMYFUNCTION("""COMPUTED_VALUE"""),"Teltow")</f>
        <v>Teltow</v>
      </c>
      <c r="E114" s="7" t="str">
        <f>IFERROR(__xludf.DUMMYFUNCTION("""COMPUTED_VALUE"""),"Verti Versicherung AG")</f>
        <v>Verti Versicherung AG</v>
      </c>
      <c r="F114" s="7" t="str">
        <f>IFERROR(__xludf.DUMMYFUNCTION("""COMPUTED_VALUE"""),"None")</f>
        <v>None</v>
      </c>
      <c r="G114" s="7" t="str">
        <f>IFERROR(__xludf.DUMMYFUNCTION("""COMPUTED_VALUE"""),"No salary data")</f>
        <v>No salary data</v>
      </c>
      <c r="H114" s="7" t="str">
        <f>IFERROR(__xludf.DUMMYFUNCTION("""COMPUTED_VALUE"""),"No salary data")</f>
        <v>No salary data</v>
      </c>
      <c r="I114" s="7" t="str">
        <f>IFERROR(__xludf.DUMMYFUNCTION("""COMPUTED_VALUE"""),"No salary data")</f>
        <v>No salary data</v>
      </c>
      <c r="J114" s="7" t="str">
        <f>IFERROR(__xludf.DUMMYFUNCTION("""COMPUTED_VALUE"""),"Python, SQL, Machine Learning, Git")</f>
        <v>Python, SQL, Machine Learning, Git</v>
      </c>
      <c r="K114" s="7" t="str">
        <f>IFERROR(__xludf.DUMMYFUNCTION("""COMPUTED_VALUE"""),"No job type data")</f>
        <v>No job type data</v>
      </c>
      <c r="L114" s="7" t="str">
        <f>IFERROR(__xludf.DUMMYFUNCTION("""COMPUTED_VALUE"""),"3,8")</f>
        <v>3,8</v>
      </c>
      <c r="M114" s="7"/>
      <c r="N114" s="7"/>
      <c r="O114" s="7"/>
    </row>
    <row r="115">
      <c r="A115" s="29">
        <f>IFERROR(__xludf.DUMMYFUNCTION("""COMPUTED_VALUE"""),111.0)</f>
        <v>111</v>
      </c>
      <c r="B115" s="7" t="str">
        <f>IFERROR(__xludf.DUMMYFUNCTION("""COMPUTED_VALUE"""),"vor 5 Tagen")</f>
        <v>vor 5 Tagen</v>
      </c>
      <c r="C115" s="7" t="str">
        <f>IFERROR(__xludf.DUMMYFUNCTION("""COMPUTED_VALUE"""),"Innovative Data Scientist - Pharmceuticals (m/f/d)")</f>
        <v>Innovative Data Scientist - Pharmceuticals (m/f/d)</v>
      </c>
      <c r="D115" s="7" t="str">
        <f>IFERROR(__xludf.DUMMYFUNCTION("""COMPUTED_VALUE"""),"Berlin")</f>
        <v>Berlin</v>
      </c>
      <c r="E115" s="7" t="str">
        <f>IFERROR(__xludf.DUMMYFUNCTION("""COMPUTED_VALUE"""),"Bayer")</f>
        <v>Bayer</v>
      </c>
      <c r="F115" s="7" t="str">
        <f>IFERROR(__xludf.DUMMYFUNCTION("""COMPUTED_VALUE"""),"None")</f>
        <v>None</v>
      </c>
      <c r="G115" s="7" t="str">
        <f>IFERROR(__xludf.DUMMYFUNCTION("""COMPUTED_VALUE"""),"No salary data")</f>
        <v>No salary data</v>
      </c>
      <c r="H115" s="7" t="str">
        <f>IFERROR(__xludf.DUMMYFUNCTION("""COMPUTED_VALUE"""),"No salary data")</f>
        <v>No salary data</v>
      </c>
      <c r="I115" s="7" t="str">
        <f>IFERROR(__xludf.DUMMYFUNCTION("""COMPUTED_VALUE"""),"No salary data")</f>
        <v>No salary data</v>
      </c>
      <c r="J115" s="7" t="str">
        <f>IFERROR(__xludf.DUMMYFUNCTION("""COMPUTED_VALUE"""),"Python, SQL, Machine Learning, Deep Learning, Statistic, Git")</f>
        <v>Python, SQL, Machine Learning, Deep Learning, Statistic, Git</v>
      </c>
      <c r="K115" s="7" t="str">
        <f>IFERROR(__xludf.DUMMYFUNCTION("""COMPUTED_VALUE"""),"No job type data")</f>
        <v>No job type data</v>
      </c>
      <c r="L115" s="7" t="str">
        <f>IFERROR(__xludf.DUMMYFUNCTION("""COMPUTED_VALUE"""),"4,2")</f>
        <v>4,2</v>
      </c>
      <c r="M115" s="7"/>
      <c r="N115" s="7"/>
      <c r="O115" s="7"/>
    </row>
    <row r="116">
      <c r="A116" s="29">
        <f>IFERROR(__xludf.DUMMYFUNCTION("""COMPUTED_VALUE"""),112.0)</f>
        <v>112</v>
      </c>
      <c r="B116" s="7" t="str">
        <f>IFERROR(__xludf.DUMMYFUNCTION("""COMPUTED_VALUE"""),"Vor mehr als 30 Tagen")</f>
        <v>Vor mehr als 30 Tagen</v>
      </c>
      <c r="C116" s="7" t="str">
        <f>IFERROR(__xludf.DUMMYFUNCTION("""COMPUTED_VALUE"""),"Team Lead Data Analytics (f/m/d)")</f>
        <v>Team Lead Data Analytics (f/m/d)</v>
      </c>
      <c r="D116" s="7" t="str">
        <f>IFERROR(__xludf.DUMMYFUNCTION("""COMPUTED_VALUE"""),"München")</f>
        <v>München</v>
      </c>
      <c r="E116" s="7" t="str">
        <f>IFERROR(__xludf.DUMMYFUNCTION("""COMPUTED_VALUE"""),"Holidu GmbH")</f>
        <v>Holidu GmbH</v>
      </c>
      <c r="F116" s="7" t="str">
        <f>IFERROR(__xludf.DUMMYFUNCTION("""COMPUTED_VALUE"""),"None")</f>
        <v>None</v>
      </c>
      <c r="G116" s="7" t="str">
        <f>IFERROR(__xludf.DUMMYFUNCTION("""COMPUTED_VALUE"""),"No salary data")</f>
        <v>No salary data</v>
      </c>
      <c r="H116" s="7" t="str">
        <f>IFERROR(__xludf.DUMMYFUNCTION("""COMPUTED_VALUE"""),"No salary data")</f>
        <v>No salary data</v>
      </c>
      <c r="I116" s="7" t="str">
        <f>IFERROR(__xludf.DUMMYFUNCTION("""COMPUTED_VALUE"""),"No salary data")</f>
        <v>No salary data</v>
      </c>
      <c r="J116" s="7" t="str">
        <f>IFERROR(__xludf.DUMMYFUNCTION("""COMPUTED_VALUE"""),"Python, SQL, Tableau, Excel, Git")</f>
        <v>Python, SQL, Tableau, Excel, Git</v>
      </c>
      <c r="K116" s="7" t="str">
        <f>IFERROR(__xludf.DUMMYFUNCTION("""COMPUTED_VALUE"""),"Full-Time")</f>
        <v>Full-Time</v>
      </c>
      <c r="L116" s="7" t="str">
        <f>IFERROR(__xludf.DUMMYFUNCTION("""COMPUTED_VALUE"""),"4,4")</f>
        <v>4,4</v>
      </c>
      <c r="M116" s="7"/>
      <c r="N116" s="7"/>
      <c r="O116" s="7"/>
    </row>
    <row r="117">
      <c r="A117" s="29">
        <f>IFERROR(__xludf.DUMMYFUNCTION("""COMPUTED_VALUE"""),113.0)</f>
        <v>113</v>
      </c>
      <c r="B117" s="7" t="str">
        <f>IFERROR(__xludf.DUMMYFUNCTION("""COMPUTED_VALUE"""),"vor 24 Tagen")</f>
        <v>vor 24 Tagen</v>
      </c>
      <c r="C117" s="7" t="str">
        <f>IFERROR(__xludf.DUMMYFUNCTION("""COMPUTED_VALUE"""),"Data Science Intern")</f>
        <v>Data Science Intern</v>
      </c>
      <c r="D117" s="7" t="str">
        <f>IFERROR(__xludf.DUMMYFUNCTION("""COMPUTED_VALUE"""),"Hamburg")</f>
        <v>Hamburg</v>
      </c>
      <c r="E117" s="7" t="str">
        <f>IFERROR(__xludf.DUMMYFUNCTION("""COMPUTED_VALUE"""),"PANDA")</f>
        <v>PANDA</v>
      </c>
      <c r="F117" s="7" t="str">
        <f>IFERROR(__xludf.DUMMYFUNCTION("""COMPUTED_VALUE"""),"None")</f>
        <v>None</v>
      </c>
      <c r="G117" s="7" t="str">
        <f>IFERROR(__xludf.DUMMYFUNCTION("""COMPUTED_VALUE"""),"No salary data")</f>
        <v>No salary data</v>
      </c>
      <c r="H117" s="7" t="str">
        <f>IFERROR(__xludf.DUMMYFUNCTION("""COMPUTED_VALUE"""),"No salary data")</f>
        <v>No salary data</v>
      </c>
      <c r="I117" s="7" t="str">
        <f>IFERROR(__xludf.DUMMYFUNCTION("""COMPUTED_VALUE"""),"No salary data")</f>
        <v>No salary data</v>
      </c>
      <c r="J117" s="7" t="str">
        <f>IFERROR(__xludf.DUMMYFUNCTION("""COMPUTED_VALUE"""),"Machine Learning")</f>
        <v>Machine Learning</v>
      </c>
      <c r="K117" s="7" t="str">
        <f>IFERROR(__xludf.DUMMYFUNCTION("""COMPUTED_VALUE"""),"No job type data")</f>
        <v>No job type data</v>
      </c>
      <c r="L117" s="7" t="str">
        <f>IFERROR(__xludf.DUMMYFUNCTION("""COMPUTED_VALUE"""),"None")</f>
        <v>None</v>
      </c>
      <c r="M117" s="7"/>
      <c r="N117" s="7"/>
      <c r="O117" s="7"/>
    </row>
    <row r="118">
      <c r="A118" s="29">
        <f>IFERROR(__xludf.DUMMYFUNCTION("""COMPUTED_VALUE"""),114.0)</f>
        <v>114</v>
      </c>
      <c r="B118" s="7" t="str">
        <f>IFERROR(__xludf.DUMMYFUNCTION("""COMPUTED_VALUE"""),"vor 1 Tag")</f>
        <v>vor 1 Tag</v>
      </c>
      <c r="C118" s="7" t="str">
        <f>IFERROR(__xludf.DUMMYFUNCTION("""COMPUTED_VALUE"""),"Mandatory internship - Combining FEA and Machine Learning")</f>
        <v>Mandatory internship - Combining FEA and Machine Learning</v>
      </c>
      <c r="D118" s="7" t="str">
        <f>IFERROR(__xludf.DUMMYFUNCTION("""COMPUTED_VALUE"""),"Hannover")</f>
        <v>Hannover</v>
      </c>
      <c r="E118" s="7" t="str">
        <f>IFERROR(__xludf.DUMMYFUNCTION("""COMPUTED_VALUE"""),"Continental AG")</f>
        <v>Continental AG</v>
      </c>
      <c r="F118" s="7" t="str">
        <f>IFERROR(__xludf.DUMMYFUNCTION("""COMPUTED_VALUE"""),"None")</f>
        <v>None</v>
      </c>
      <c r="G118" s="7" t="str">
        <f>IFERROR(__xludf.DUMMYFUNCTION("""COMPUTED_VALUE"""),"No salary data")</f>
        <v>No salary data</v>
      </c>
      <c r="H118" s="7" t="str">
        <f>IFERROR(__xludf.DUMMYFUNCTION("""COMPUTED_VALUE"""),"No salary data")</f>
        <v>No salary data</v>
      </c>
      <c r="I118" s="7" t="str">
        <f>IFERROR(__xludf.DUMMYFUNCTION("""COMPUTED_VALUE"""),"No salary data")</f>
        <v>No salary data</v>
      </c>
      <c r="J118" s="7" t="str">
        <f>IFERROR(__xludf.DUMMYFUNCTION("""COMPUTED_VALUE"""),"Python, Machine Learning")</f>
        <v>Python, Machine Learning</v>
      </c>
      <c r="K118" s="7" t="str">
        <f>IFERROR(__xludf.DUMMYFUNCTION("""COMPUTED_VALUE"""),"Internship")</f>
        <v>Internship</v>
      </c>
      <c r="L118" s="7" t="str">
        <f>IFERROR(__xludf.DUMMYFUNCTION("""COMPUTED_VALUE"""),"4,0")</f>
        <v>4,0</v>
      </c>
      <c r="M118" s="7"/>
      <c r="N118" s="7"/>
      <c r="O118" s="7"/>
    </row>
    <row r="119">
      <c r="A119" s="29">
        <f>IFERROR(__xludf.DUMMYFUNCTION("""COMPUTED_VALUE"""),115.0)</f>
        <v>115</v>
      </c>
      <c r="B119" s="7" t="str">
        <f>IFERROR(__xludf.DUMMYFUNCTION("""COMPUTED_VALUE"""),"Vor mehr als 30 Tagen")</f>
        <v>Vor mehr als 30 Tagen</v>
      </c>
      <c r="C119" s="7" t="str">
        <f>IFERROR(__xludf.DUMMYFUNCTION("""COMPUTED_VALUE"""),"(Junior) Business Intelligence Developer/Data Warehouse (m/w...")</f>
        <v>(Junior) Business Intelligence Developer/Data Warehouse (m/w...</v>
      </c>
      <c r="D119" s="7" t="str">
        <f>IFERROR(__xludf.DUMMYFUNCTION("""COMPUTED_VALUE"""),"Nürnberg")</f>
        <v>Nürnberg</v>
      </c>
      <c r="E119" s="7" t="str">
        <f>IFERROR(__xludf.DUMMYFUNCTION("""COMPUTED_VALUE"""),"immowelt")</f>
        <v>immowelt</v>
      </c>
      <c r="F119" s="7" t="str">
        <f>IFERROR(__xludf.DUMMYFUNCTION("""COMPUTED_VALUE"""),"None")</f>
        <v>None</v>
      </c>
      <c r="G119" s="7" t="str">
        <f>IFERROR(__xludf.DUMMYFUNCTION("""COMPUTED_VALUE"""),"No salary data")</f>
        <v>No salary data</v>
      </c>
      <c r="H119" s="7" t="str">
        <f>IFERROR(__xludf.DUMMYFUNCTION("""COMPUTED_VALUE"""),"No salary data")</f>
        <v>No salary data</v>
      </c>
      <c r="I119" s="7" t="str">
        <f>IFERROR(__xludf.DUMMYFUNCTION("""COMPUTED_VALUE"""),"No salary data")</f>
        <v>No salary data</v>
      </c>
      <c r="J119" s="7" t="str">
        <f>IFERROR(__xludf.DUMMYFUNCTION("""COMPUTED_VALUE"""),"Python, SQL")</f>
        <v>Python, SQL</v>
      </c>
      <c r="K119" s="7" t="str">
        <f>IFERROR(__xludf.DUMMYFUNCTION("""COMPUTED_VALUE"""),"No job type data")</f>
        <v>No job type data</v>
      </c>
      <c r="L119" s="7" t="str">
        <f>IFERROR(__xludf.DUMMYFUNCTION("""COMPUTED_VALUE"""),"None")</f>
        <v>None</v>
      </c>
      <c r="M119" s="7"/>
      <c r="N119" s="7"/>
      <c r="O119" s="7"/>
    </row>
    <row r="120">
      <c r="A120" s="29">
        <f>IFERROR(__xludf.DUMMYFUNCTION("""COMPUTED_VALUE"""),116.0)</f>
        <v>116</v>
      </c>
      <c r="B120" s="7" t="str">
        <f>IFERROR(__xludf.DUMMYFUNCTION("""COMPUTED_VALUE"""),"vor 21 Tagen")</f>
        <v>vor 21 Tagen</v>
      </c>
      <c r="C120" s="7" t="str">
        <f>IFERROR(__xludf.DUMMYFUNCTION("""COMPUTED_VALUE"""),"Data Analyst Healthcare (w/m/d)")</f>
        <v>Data Analyst Healthcare (w/m/d)</v>
      </c>
      <c r="D120" s="7" t="str">
        <f>IFERROR(__xludf.DUMMYFUNCTION("""COMPUTED_VALUE"""),"Düsseldorf")</f>
        <v>Düsseldorf</v>
      </c>
      <c r="E120" s="7" t="str">
        <f>IFERROR(__xludf.DUMMYFUNCTION("""COMPUTED_VALUE"""),"GWQ ServicePlus AG")</f>
        <v>GWQ ServicePlus AG</v>
      </c>
      <c r="F120" s="7" t="str">
        <f>IFERROR(__xludf.DUMMYFUNCTION("""COMPUTED_VALUE"""),"None")</f>
        <v>None</v>
      </c>
      <c r="G120" s="7" t="str">
        <f>IFERROR(__xludf.DUMMYFUNCTION("""COMPUTED_VALUE"""),"No salary data")</f>
        <v>No salary data</v>
      </c>
      <c r="H120" s="7" t="str">
        <f>IFERROR(__xludf.DUMMYFUNCTION("""COMPUTED_VALUE"""),"No salary data")</f>
        <v>No salary data</v>
      </c>
      <c r="I120" s="7" t="str">
        <f>IFERROR(__xludf.DUMMYFUNCTION("""COMPUTED_VALUE"""),"No salary data")</f>
        <v>No salary data</v>
      </c>
      <c r="J120" s="7" t="str">
        <f>IFERROR(__xludf.DUMMYFUNCTION("""COMPUTED_VALUE"""),"SQL, Git")</f>
        <v>SQL, Git</v>
      </c>
      <c r="K120" s="7" t="str">
        <f>IFERROR(__xludf.DUMMYFUNCTION("""COMPUTED_VALUE"""),"No job type data")</f>
        <v>No job type data</v>
      </c>
      <c r="L120" s="7" t="str">
        <f>IFERROR(__xludf.DUMMYFUNCTION("""COMPUTED_VALUE"""),"None")</f>
        <v>None</v>
      </c>
      <c r="M120" s="7"/>
      <c r="N120" s="7"/>
      <c r="O120" s="7"/>
    </row>
    <row r="121">
      <c r="A121" s="29">
        <f>IFERROR(__xludf.DUMMYFUNCTION("""COMPUTED_VALUE"""),117.0)</f>
        <v>117</v>
      </c>
      <c r="B121" s="7" t="str">
        <f>IFERROR(__xludf.DUMMYFUNCTION("""COMPUTED_VALUE"""),"vor 26 Tagen")</f>
        <v>vor 26 Tagen</v>
      </c>
      <c r="C121" s="7" t="str">
        <f>IFERROR(__xludf.DUMMYFUNCTION("""COMPUTED_VALUE"""),"Praktikum im Bereich Big Data &amp; Advanced Analytics bei MB Va...")</f>
        <v>Praktikum im Bereich Big Data &amp; Advanced Analytics bei MB Va...</v>
      </c>
      <c r="D121" s="7" t="str">
        <f>IFERROR(__xludf.DUMMYFUNCTION("""COMPUTED_VALUE"""),"Leinfelden-Echterdingen")</f>
        <v>Leinfelden-Echterdingen</v>
      </c>
      <c r="E121" s="7" t="str">
        <f>IFERROR(__xludf.DUMMYFUNCTION("""COMPUTED_VALUE"""),"Mercedes-Benz AG")</f>
        <v>Mercedes-Benz AG</v>
      </c>
      <c r="F121" s="7" t="str">
        <f>IFERROR(__xludf.DUMMYFUNCTION("""COMPUTED_VALUE"""),"None")</f>
        <v>None</v>
      </c>
      <c r="G121" s="7" t="str">
        <f>IFERROR(__xludf.DUMMYFUNCTION("""COMPUTED_VALUE"""),"No salary data")</f>
        <v>No salary data</v>
      </c>
      <c r="H121" s="7" t="str">
        <f>IFERROR(__xludf.DUMMYFUNCTION("""COMPUTED_VALUE"""),"No salary data")</f>
        <v>No salary data</v>
      </c>
      <c r="I121" s="7" t="str">
        <f>IFERROR(__xludf.DUMMYFUNCTION("""COMPUTED_VALUE"""),"No salary data")</f>
        <v>No salary data</v>
      </c>
      <c r="J121" s="7" t="str">
        <f>IFERROR(__xludf.DUMMYFUNCTION("""COMPUTED_VALUE"""),"Python, Tableau, Machine Learning, Deep Learning, Git")</f>
        <v>Python, Tableau, Machine Learning, Deep Learning, Git</v>
      </c>
      <c r="K121" s="7" t="str">
        <f>IFERROR(__xludf.DUMMYFUNCTION("""COMPUTED_VALUE"""),"No job type data")</f>
        <v>No job type data</v>
      </c>
      <c r="L121" s="7" t="str">
        <f>IFERROR(__xludf.DUMMYFUNCTION("""COMPUTED_VALUE"""),"4,0")</f>
        <v>4,0</v>
      </c>
      <c r="M121" s="7"/>
      <c r="N121" s="7"/>
      <c r="O121" s="7"/>
    </row>
    <row r="122">
      <c r="A122" s="29">
        <f>IFERROR(__xludf.DUMMYFUNCTION("""COMPUTED_VALUE"""),118.0)</f>
        <v>118</v>
      </c>
      <c r="B122" s="7" t="str">
        <f>IFERROR(__xludf.DUMMYFUNCTION("""COMPUTED_VALUE"""),"vor 20 Tagen")</f>
        <v>vor 20 Tagen</v>
      </c>
      <c r="C122" s="7" t="str">
        <f>IFERROR(__xludf.DUMMYFUNCTION("""COMPUTED_VALUE"""),"Data Scientist (m/w/d)")</f>
        <v>Data Scientist (m/w/d)</v>
      </c>
      <c r="D122" s="7" t="str">
        <f>IFERROR(__xludf.DUMMYFUNCTION("""COMPUTED_VALUE"""),"Darmstadt")</f>
        <v>Darmstadt</v>
      </c>
      <c r="E122" s="7" t="str">
        <f>IFERROR(__xludf.DUMMYFUNCTION("""COMPUTED_VALUE"""),"Bisnode")</f>
        <v>Bisnode</v>
      </c>
      <c r="F122" s="7" t="str">
        <f>IFERROR(__xludf.DUMMYFUNCTION("""COMPUTED_VALUE"""),"None")</f>
        <v>None</v>
      </c>
      <c r="G122" s="7" t="str">
        <f>IFERROR(__xludf.DUMMYFUNCTION("""COMPUTED_VALUE"""),"No salary data")</f>
        <v>No salary data</v>
      </c>
      <c r="H122" s="7" t="str">
        <f>IFERROR(__xludf.DUMMYFUNCTION("""COMPUTED_VALUE"""),"No salary data")</f>
        <v>No salary data</v>
      </c>
      <c r="I122" s="7" t="str">
        <f>IFERROR(__xludf.DUMMYFUNCTION("""COMPUTED_VALUE"""),"No salary data")</f>
        <v>No salary data</v>
      </c>
      <c r="J122" s="7" t="str">
        <f>IFERROR(__xludf.DUMMYFUNCTION("""COMPUTED_VALUE"""),"Python, SQL, Tableau, Excel, Machine Learning, Statistic, Git")</f>
        <v>Python, SQL, Tableau, Excel, Machine Learning, Statistic, Git</v>
      </c>
      <c r="K122" s="7" t="str">
        <f>IFERROR(__xludf.DUMMYFUNCTION("""COMPUTED_VALUE"""),"No job type data")</f>
        <v>No job type data</v>
      </c>
      <c r="L122" s="7" t="str">
        <f>IFERROR(__xludf.DUMMYFUNCTION("""COMPUTED_VALUE"""),"None")</f>
        <v>None</v>
      </c>
      <c r="M122" s="7"/>
      <c r="N122" s="7"/>
      <c r="O122" s="7"/>
    </row>
    <row r="123">
      <c r="A123" s="29">
        <f>IFERROR(__xludf.DUMMYFUNCTION("""COMPUTED_VALUE"""),119.0)</f>
        <v>119</v>
      </c>
      <c r="B123" s="7" t="str">
        <f>IFERROR(__xludf.DUMMYFUNCTION("""COMPUTED_VALUE"""),"vor 6 Tagen")</f>
        <v>vor 6 Tagen</v>
      </c>
      <c r="C123" s="7" t="str">
        <f>IFERROR(__xludf.DUMMYFUNCTION("""COMPUTED_VALUE"""),"(Junior) Data Engineer (m/w/d)")</f>
        <v>(Junior) Data Engineer (m/w/d)</v>
      </c>
      <c r="D123" s="7" t="str">
        <f>IFERROR(__xludf.DUMMYFUNCTION("""COMPUTED_VALUE"""),"Kempten (Allgäu)")</f>
        <v>Kempten (Allgäu)</v>
      </c>
      <c r="E123" s="7" t="str">
        <f>IFERROR(__xludf.DUMMYFUNCTION("""COMPUTED_VALUE"""),"Ehrenmüller GmbH")</f>
        <v>Ehrenmüller GmbH</v>
      </c>
      <c r="F123" s="7" t="str">
        <f>IFERROR(__xludf.DUMMYFUNCTION("""COMPUTED_VALUE"""),"None")</f>
        <v>None</v>
      </c>
      <c r="G123" s="7" t="str">
        <f>IFERROR(__xludf.DUMMYFUNCTION("""COMPUTED_VALUE"""),"No salary data")</f>
        <v>No salary data</v>
      </c>
      <c r="H123" s="7" t="str">
        <f>IFERROR(__xludf.DUMMYFUNCTION("""COMPUTED_VALUE"""),"No salary data")</f>
        <v>No salary data</v>
      </c>
      <c r="I123" s="7" t="str">
        <f>IFERROR(__xludf.DUMMYFUNCTION("""COMPUTED_VALUE"""),"No salary data")</f>
        <v>No salary data</v>
      </c>
      <c r="J123" s="7" t="str">
        <f>IFERROR(__xludf.DUMMYFUNCTION("""COMPUTED_VALUE"""),"Python, Git, Linux")</f>
        <v>Python, Git, Linux</v>
      </c>
      <c r="K123" s="7" t="str">
        <f>IFERROR(__xludf.DUMMYFUNCTION("""COMPUTED_VALUE"""),"No job type data")</f>
        <v>No job type data</v>
      </c>
      <c r="L123" s="7" t="str">
        <f>IFERROR(__xludf.DUMMYFUNCTION("""COMPUTED_VALUE"""),"None")</f>
        <v>None</v>
      </c>
      <c r="M123" s="7"/>
      <c r="N123" s="7"/>
      <c r="O123" s="7"/>
    </row>
    <row r="124">
      <c r="A124" s="29">
        <f>IFERROR(__xludf.DUMMYFUNCTION("""COMPUTED_VALUE"""),120.0)</f>
        <v>120</v>
      </c>
      <c r="B124" s="7" t="str">
        <f>IFERROR(__xludf.DUMMYFUNCTION("""COMPUTED_VALUE"""),"vor 3 Tagen")</f>
        <v>vor 3 Tagen</v>
      </c>
      <c r="C124" s="7" t="str">
        <f>IFERROR(__xludf.DUMMYFUNCTION("""COMPUTED_VALUE"""),"Data Scientist – Ref.Nr. 309")</f>
        <v>Data Scientist – Ref.Nr. 309</v>
      </c>
      <c r="D124" s="7" t="str">
        <f>IFERROR(__xludf.DUMMYFUNCTION("""COMPUTED_VALUE"""),"Heidelberg")</f>
        <v>Heidelberg</v>
      </c>
      <c r="E124" s="7" t="str">
        <f>IFERROR(__xludf.DUMMYFUNCTION("""COMPUTED_VALUE"""),"Max Planck Institute for Astronomy")</f>
        <v>Max Planck Institute for Astronomy</v>
      </c>
      <c r="F124" s="7" t="str">
        <f>IFERROR(__xludf.DUMMYFUNCTION("""COMPUTED_VALUE"""),"None")</f>
        <v>None</v>
      </c>
      <c r="G124" s="7" t="str">
        <f>IFERROR(__xludf.DUMMYFUNCTION("""COMPUTED_VALUE"""),"No salary data")</f>
        <v>No salary data</v>
      </c>
      <c r="H124" s="7" t="str">
        <f>IFERROR(__xludf.DUMMYFUNCTION("""COMPUTED_VALUE"""),"No salary data")</f>
        <v>No salary data</v>
      </c>
      <c r="I124" s="7" t="str">
        <f>IFERROR(__xludf.DUMMYFUNCTION("""COMPUTED_VALUE"""),"No salary data")</f>
        <v>No salary data</v>
      </c>
      <c r="J124" s="7" t="str">
        <f>IFERROR(__xludf.DUMMYFUNCTION("""COMPUTED_VALUE"""),"Python, Machine Learning, Statistic, Git")</f>
        <v>Python, Machine Learning, Statistic, Git</v>
      </c>
      <c r="K124" s="7" t="str">
        <f>IFERROR(__xludf.DUMMYFUNCTION("""COMPUTED_VALUE"""),"Permanent")</f>
        <v>Permanent</v>
      </c>
      <c r="L124" s="7" t="str">
        <f>IFERROR(__xludf.DUMMYFUNCTION("""COMPUTED_VALUE"""),"None")</f>
        <v>None</v>
      </c>
      <c r="M124" s="7"/>
      <c r="N124" s="7"/>
      <c r="O124" s="7"/>
    </row>
    <row r="125">
      <c r="A125" s="29">
        <f>IFERROR(__xludf.DUMMYFUNCTION("""COMPUTED_VALUE"""),121.0)</f>
        <v>121</v>
      </c>
      <c r="B125" s="7" t="str">
        <f>IFERROR(__xludf.DUMMYFUNCTION("""COMPUTED_VALUE"""),"Vor mehr als 30 Tagen")</f>
        <v>Vor mehr als 30 Tagen</v>
      </c>
      <c r="C125" s="7" t="str">
        <f>IFERROR(__xludf.DUMMYFUNCTION("""COMPUTED_VALUE"""),"Business Intelligence (BI) Architect / Data Engineer (m/w/d)")</f>
        <v>Business Intelligence (BI) Architect / Data Engineer (m/w/d)</v>
      </c>
      <c r="D125" s="7" t="str">
        <f>IFERROR(__xludf.DUMMYFUNCTION("""COMPUTED_VALUE"""),"Würzburg")</f>
        <v>Würzburg</v>
      </c>
      <c r="E125" s="7" t="str">
        <f>IFERROR(__xludf.DUMMYFUNCTION("""COMPUTED_VALUE"""),"Koenig &amp; Bauer")</f>
        <v>Koenig &amp; Bauer</v>
      </c>
      <c r="F125" s="7" t="str">
        <f>IFERROR(__xludf.DUMMYFUNCTION("""COMPUTED_VALUE"""),"None")</f>
        <v>None</v>
      </c>
      <c r="G125" s="7" t="str">
        <f>IFERROR(__xludf.DUMMYFUNCTION("""COMPUTED_VALUE"""),"No salary data")</f>
        <v>No salary data</v>
      </c>
      <c r="H125" s="7" t="str">
        <f>IFERROR(__xludf.DUMMYFUNCTION("""COMPUTED_VALUE"""),"No salary data")</f>
        <v>No salary data</v>
      </c>
      <c r="I125" s="7" t="str">
        <f>IFERROR(__xludf.DUMMYFUNCTION("""COMPUTED_VALUE"""),"No salary data")</f>
        <v>No salary data</v>
      </c>
      <c r="J125" s="7" t="str">
        <f>IFERROR(__xludf.DUMMYFUNCTION("""COMPUTED_VALUE"""),"SQL, Tableau")</f>
        <v>SQL, Tableau</v>
      </c>
      <c r="K125" s="7" t="str">
        <f>IFERROR(__xludf.DUMMYFUNCTION("""COMPUTED_VALUE"""),"No job type data")</f>
        <v>No job type data</v>
      </c>
      <c r="L125" s="7" t="str">
        <f>IFERROR(__xludf.DUMMYFUNCTION("""COMPUTED_VALUE"""),"None")</f>
        <v>None</v>
      </c>
      <c r="M125" s="7"/>
      <c r="N125" s="7"/>
      <c r="O125" s="7"/>
    </row>
    <row r="126">
      <c r="A126" s="29">
        <f>IFERROR(__xludf.DUMMYFUNCTION("""COMPUTED_VALUE"""),122.0)</f>
        <v>122</v>
      </c>
      <c r="B126" s="7" t="str">
        <f>IFERROR(__xludf.DUMMYFUNCTION("""COMPUTED_VALUE"""),"Gerade geschaltet")</f>
        <v>Gerade geschaltet</v>
      </c>
      <c r="C126" s="7" t="str">
        <f>IFERROR(__xludf.DUMMYFUNCTION("""COMPUTED_VALUE"""),"Trainee Program - Digital / IT Track (f/m/d)")</f>
        <v>Trainee Program - Digital / IT Track (f/m/d)</v>
      </c>
      <c r="D126" s="7" t="str">
        <f>IFERROR(__xludf.DUMMYFUNCTION("""COMPUTED_VALUE"""),"Düsseldorf")</f>
        <v>Düsseldorf</v>
      </c>
      <c r="E126" s="7" t="str">
        <f>IFERROR(__xludf.DUMMYFUNCTION("""COMPUTED_VALUE"""),"Uniper")</f>
        <v>Uniper</v>
      </c>
      <c r="F126" s="7" t="str">
        <f>IFERROR(__xludf.DUMMYFUNCTION("""COMPUTED_VALUE"""),"None")</f>
        <v>None</v>
      </c>
      <c r="G126" s="7" t="str">
        <f>IFERROR(__xludf.DUMMYFUNCTION("""COMPUTED_VALUE"""),"No salary data")</f>
        <v>No salary data</v>
      </c>
      <c r="H126" s="7" t="str">
        <f>IFERROR(__xludf.DUMMYFUNCTION("""COMPUTED_VALUE"""),"No salary data")</f>
        <v>No salary data</v>
      </c>
      <c r="I126" s="7" t="str">
        <f>IFERROR(__xludf.DUMMYFUNCTION("""COMPUTED_VALUE"""),"No salary data")</f>
        <v>No salary data</v>
      </c>
      <c r="J126" s="7" t="str">
        <f>IFERROR(__xludf.DUMMYFUNCTION("""COMPUTED_VALUE"""),"Git")</f>
        <v>Git</v>
      </c>
      <c r="K126" s="7" t="str">
        <f>IFERROR(__xludf.DUMMYFUNCTION("""COMPUTED_VALUE"""),"No job type data")</f>
        <v>No job type data</v>
      </c>
      <c r="L126" s="7" t="str">
        <f>IFERROR(__xludf.DUMMYFUNCTION("""COMPUTED_VALUE"""),"4,0")</f>
        <v>4,0</v>
      </c>
      <c r="M126" s="7"/>
      <c r="N126" s="7"/>
      <c r="O126" s="7"/>
    </row>
    <row r="127">
      <c r="A127" s="29">
        <f>IFERROR(__xludf.DUMMYFUNCTION("""COMPUTED_VALUE"""),123.0)</f>
        <v>123</v>
      </c>
      <c r="B127" s="7" t="str">
        <f>IFERROR(__xludf.DUMMYFUNCTION("""COMPUTED_VALUE"""),"Vor mehr als 30 Tagen")</f>
        <v>Vor mehr als 30 Tagen</v>
      </c>
      <c r="C127" s="7" t="str">
        <f>IFERROR(__xludf.DUMMYFUNCTION("""COMPUTED_VALUE"""),"(Junior) Frontend Engineer – Data Visualization (m/f/div)")</f>
        <v>(Junior) Frontend Engineer – Data Visualization (m/f/div)</v>
      </c>
      <c r="D127" s="7" t="str">
        <f>IFERROR(__xludf.DUMMYFUNCTION("""COMPUTED_VALUE"""),"Berlin")</f>
        <v>Berlin</v>
      </c>
      <c r="E127" s="7" t="str">
        <f>IFERROR(__xludf.DUMMYFUNCTION("""COMPUTED_VALUE"""),"Elinvar GmbH")</f>
        <v>Elinvar GmbH</v>
      </c>
      <c r="F127" s="7" t="str">
        <f>IFERROR(__xludf.DUMMYFUNCTION("""COMPUTED_VALUE"""),"None")</f>
        <v>None</v>
      </c>
      <c r="G127" s="7" t="str">
        <f>IFERROR(__xludf.DUMMYFUNCTION("""COMPUTED_VALUE"""),"No salary data")</f>
        <v>No salary data</v>
      </c>
      <c r="H127" s="7" t="str">
        <f>IFERROR(__xludf.DUMMYFUNCTION("""COMPUTED_VALUE"""),"No salary data")</f>
        <v>No salary data</v>
      </c>
      <c r="I127" s="7" t="str">
        <f>IFERROR(__xludf.DUMMYFUNCTION("""COMPUTED_VALUE"""),"No salary data")</f>
        <v>No salary data</v>
      </c>
      <c r="J127" s="7" t="str">
        <f>IFERROR(__xludf.DUMMYFUNCTION("""COMPUTED_VALUE"""),"Python, SQL, Excel, Git")</f>
        <v>Python, SQL, Excel, Git</v>
      </c>
      <c r="K127" s="7" t="str">
        <f>IFERROR(__xludf.DUMMYFUNCTION("""COMPUTED_VALUE"""),"No job type data")</f>
        <v>No job type data</v>
      </c>
      <c r="L127" s="7" t="str">
        <f>IFERROR(__xludf.DUMMYFUNCTION("""COMPUTED_VALUE"""),"None")</f>
        <v>None</v>
      </c>
      <c r="M127" s="7"/>
      <c r="N127" s="7"/>
      <c r="O127" s="7"/>
    </row>
    <row r="128">
      <c r="A128" s="29">
        <f>IFERROR(__xludf.DUMMYFUNCTION("""COMPUTED_VALUE"""),124.0)</f>
        <v>124</v>
      </c>
      <c r="B128" s="7" t="str">
        <f>IFERROR(__xludf.DUMMYFUNCTION("""COMPUTED_VALUE"""),"vor 17 Tagen")</f>
        <v>vor 17 Tagen</v>
      </c>
      <c r="C128" s="7" t="str">
        <f>IFERROR(__xludf.DUMMYFUNCTION("""COMPUTED_VALUE"""),"Data Engineer / Python Backend Developer")</f>
        <v>Data Engineer / Python Backend Developer</v>
      </c>
      <c r="D128" s="7" t="str">
        <f>IFERROR(__xludf.DUMMYFUNCTION("""COMPUTED_VALUE"""),"Thüringen")</f>
        <v>Thüringen</v>
      </c>
      <c r="E128" s="30" t="str">
        <f>IFERROR(__xludf.DUMMYFUNCTION("""COMPUTED_VALUE"""),"Aviasales.ru")</f>
        <v>Aviasales.ru</v>
      </c>
      <c r="F128" s="7" t="str">
        <f>IFERROR(__xludf.DUMMYFUNCTION("""COMPUTED_VALUE"""),"None")</f>
        <v>None</v>
      </c>
      <c r="G128" s="7" t="str">
        <f>IFERROR(__xludf.DUMMYFUNCTION("""COMPUTED_VALUE"""),"No salary data")</f>
        <v>No salary data</v>
      </c>
      <c r="H128" s="7" t="str">
        <f>IFERROR(__xludf.DUMMYFUNCTION("""COMPUTED_VALUE"""),"No salary data")</f>
        <v>No salary data</v>
      </c>
      <c r="I128" s="7" t="str">
        <f>IFERROR(__xludf.DUMMYFUNCTION("""COMPUTED_VALUE"""),"No salary data")</f>
        <v>No salary data</v>
      </c>
      <c r="J128" s="7" t="str">
        <f>IFERROR(__xludf.DUMMYFUNCTION("""COMPUTED_VALUE"""),"Python, SQL")</f>
        <v>Python, SQL</v>
      </c>
      <c r="K128" s="7" t="str">
        <f>IFERROR(__xludf.DUMMYFUNCTION("""COMPUTED_VALUE"""),"No job type data")</f>
        <v>No job type data</v>
      </c>
      <c r="L128" s="7" t="str">
        <f>IFERROR(__xludf.DUMMYFUNCTION("""COMPUTED_VALUE"""),"None")</f>
        <v>None</v>
      </c>
      <c r="M128" s="7"/>
      <c r="N128" s="7"/>
      <c r="O128" s="7"/>
    </row>
    <row r="129">
      <c r="A129" s="29">
        <f>IFERROR(__xludf.DUMMYFUNCTION("""COMPUTED_VALUE"""),125.0)</f>
        <v>125</v>
      </c>
      <c r="B129" s="7" t="str">
        <f>IFERROR(__xludf.DUMMYFUNCTION("""COMPUTED_VALUE"""),"vor 5 Tagen")</f>
        <v>vor 5 Tagen</v>
      </c>
      <c r="C129" s="7" t="str">
        <f>IFERROR(__xludf.DUMMYFUNCTION("""COMPUTED_VALUE"""),"Trainee Data Analytics &amp; AI - Digital Operations (w/m/d)")</f>
        <v>Trainee Data Analytics &amp; AI - Digital Operations (w/m/d)</v>
      </c>
      <c r="D129" s="7" t="str">
        <f>IFERROR(__xludf.DUMMYFUNCTION("""COMPUTED_VALUE"""),"Deutschland")</f>
        <v>Deutschland</v>
      </c>
      <c r="E129" s="7" t="str">
        <f>IFERROR(__xludf.DUMMYFUNCTION("""COMPUTED_VALUE"""),"PwC")</f>
        <v>PwC</v>
      </c>
      <c r="F129" s="7" t="str">
        <f>IFERROR(__xludf.DUMMYFUNCTION("""COMPUTED_VALUE"""),"None")</f>
        <v>None</v>
      </c>
      <c r="G129" s="7" t="str">
        <f>IFERROR(__xludf.DUMMYFUNCTION("""COMPUTED_VALUE"""),"No salary data")</f>
        <v>No salary data</v>
      </c>
      <c r="H129" s="7" t="str">
        <f>IFERROR(__xludf.DUMMYFUNCTION("""COMPUTED_VALUE"""),"No salary data")</f>
        <v>No salary data</v>
      </c>
      <c r="I129" s="7" t="str">
        <f>IFERROR(__xludf.DUMMYFUNCTION("""COMPUTED_VALUE"""),"No salary data")</f>
        <v>No salary data</v>
      </c>
      <c r="J129" s="7" t="str">
        <f>IFERROR(__xludf.DUMMYFUNCTION("""COMPUTED_VALUE"""),"Python, Machine Learning, Git")</f>
        <v>Python, Machine Learning, Git</v>
      </c>
      <c r="K129" s="7" t="str">
        <f>IFERROR(__xludf.DUMMYFUNCTION("""COMPUTED_VALUE"""),"No job type data")</f>
        <v>No job type data</v>
      </c>
      <c r="L129" s="7" t="str">
        <f>IFERROR(__xludf.DUMMYFUNCTION("""COMPUTED_VALUE"""),"4,0")</f>
        <v>4,0</v>
      </c>
      <c r="M129" s="7"/>
      <c r="N129" s="7"/>
      <c r="O129" s="7"/>
    </row>
    <row r="130">
      <c r="A130" s="29">
        <f>IFERROR(__xludf.DUMMYFUNCTION("""COMPUTED_VALUE"""),126.0)</f>
        <v>126</v>
      </c>
      <c r="B130" s="7" t="str">
        <f>IFERROR(__xludf.DUMMYFUNCTION("""COMPUTED_VALUE"""),"vor 3 Tagen")</f>
        <v>vor 3 Tagen</v>
      </c>
      <c r="C130" s="7" t="str">
        <f>IFERROR(__xludf.DUMMYFUNCTION("""COMPUTED_VALUE"""),"Data Analyst (m/w/d) im Bereich WeConnect Ökosystem bei Volk...")</f>
        <v>Data Analyst (m/w/d) im Bereich WeConnect Ökosystem bei Volk...</v>
      </c>
      <c r="D130" s="7" t="str">
        <f>IFERROR(__xludf.DUMMYFUNCTION("""COMPUTED_VALUE"""),"Hannover")</f>
        <v>Hannover</v>
      </c>
      <c r="E130" s="7" t="str">
        <f>IFERROR(__xludf.DUMMYFUNCTION("""COMPUTED_VALUE"""),"Volkswagen AG")</f>
        <v>Volkswagen AG</v>
      </c>
      <c r="F130" s="7" t="str">
        <f>IFERROR(__xludf.DUMMYFUNCTION("""COMPUTED_VALUE"""),"None")</f>
        <v>None</v>
      </c>
      <c r="G130" s="7" t="str">
        <f>IFERROR(__xludf.DUMMYFUNCTION("""COMPUTED_VALUE"""),"No salary data")</f>
        <v>No salary data</v>
      </c>
      <c r="H130" s="7" t="str">
        <f>IFERROR(__xludf.DUMMYFUNCTION("""COMPUTED_VALUE"""),"No salary data")</f>
        <v>No salary data</v>
      </c>
      <c r="I130" s="7" t="str">
        <f>IFERROR(__xludf.DUMMYFUNCTION("""COMPUTED_VALUE"""),"No salary data")</f>
        <v>No salary data</v>
      </c>
      <c r="J130" s="7" t="str">
        <f>IFERROR(__xludf.DUMMYFUNCTION("""COMPUTED_VALUE"""),"Tableau, Git")</f>
        <v>Tableau, Git</v>
      </c>
      <c r="K130" s="7" t="str">
        <f>IFERROR(__xludf.DUMMYFUNCTION("""COMPUTED_VALUE"""),"No job type data")</f>
        <v>No job type data</v>
      </c>
      <c r="L130" s="7" t="str">
        <f>IFERROR(__xludf.DUMMYFUNCTION("""COMPUTED_VALUE"""),"4,1")</f>
        <v>4,1</v>
      </c>
      <c r="M130" s="7"/>
      <c r="N130" s="7"/>
      <c r="O130" s="7"/>
    </row>
    <row r="131">
      <c r="A131" s="29">
        <f>IFERROR(__xludf.DUMMYFUNCTION("""COMPUTED_VALUE"""),127.0)</f>
        <v>127</v>
      </c>
      <c r="B131" s="7" t="str">
        <f>IFERROR(__xludf.DUMMYFUNCTION("""COMPUTED_VALUE"""),"vor 19 Tagen")</f>
        <v>vor 19 Tagen</v>
      </c>
      <c r="C131" s="7" t="str">
        <f>IFERROR(__xludf.DUMMYFUNCTION("""COMPUTED_VALUE"""),"Master Data Analyst (m/w/d)")</f>
        <v>Master Data Analyst (m/w/d)</v>
      </c>
      <c r="D131" s="7" t="str">
        <f>IFERROR(__xludf.DUMMYFUNCTION("""COMPUTED_VALUE"""),"Hannover")</f>
        <v>Hannover</v>
      </c>
      <c r="E131" s="7" t="str">
        <f>IFERROR(__xludf.DUMMYFUNCTION("""COMPUTED_VALUE"""),"Warburg Invest AG")</f>
        <v>Warburg Invest AG</v>
      </c>
      <c r="F131" s="7" t="str">
        <f>IFERROR(__xludf.DUMMYFUNCTION("""COMPUTED_VALUE"""),"None")</f>
        <v>None</v>
      </c>
      <c r="G131" s="7" t="str">
        <f>IFERROR(__xludf.DUMMYFUNCTION("""COMPUTED_VALUE"""),"No salary data")</f>
        <v>No salary data</v>
      </c>
      <c r="H131" s="7" t="str">
        <f>IFERROR(__xludf.DUMMYFUNCTION("""COMPUTED_VALUE"""),"No salary data")</f>
        <v>No salary data</v>
      </c>
      <c r="I131" s="7" t="str">
        <f>IFERROR(__xludf.DUMMYFUNCTION("""COMPUTED_VALUE"""),"No salary data")</f>
        <v>No salary data</v>
      </c>
      <c r="J131" s="7" t="str">
        <f>IFERROR(__xludf.DUMMYFUNCTION("""COMPUTED_VALUE"""),"SQL, Excel")</f>
        <v>SQL, Excel</v>
      </c>
      <c r="K131" s="7" t="str">
        <f>IFERROR(__xludf.DUMMYFUNCTION("""COMPUTED_VALUE"""),"No job type data")</f>
        <v>No job type data</v>
      </c>
      <c r="L131" s="7" t="str">
        <f>IFERROR(__xludf.DUMMYFUNCTION("""COMPUTED_VALUE"""),"None")</f>
        <v>None</v>
      </c>
      <c r="M131" s="7"/>
      <c r="N131" s="7"/>
      <c r="O131" s="7"/>
    </row>
    <row r="132">
      <c r="A132" s="29">
        <f>IFERROR(__xludf.DUMMYFUNCTION("""COMPUTED_VALUE"""),128.0)</f>
        <v>128</v>
      </c>
      <c r="B132" s="7" t="str">
        <f>IFERROR(__xludf.DUMMYFUNCTION("""COMPUTED_VALUE"""),"vor 16 Tagen")</f>
        <v>vor 16 Tagen</v>
      </c>
      <c r="C132" s="7" t="str">
        <f>IFERROR(__xludf.DUMMYFUNCTION("""COMPUTED_VALUE"""),"Data Analytics Engineer (all genders)")</f>
        <v>Data Analytics Engineer (all genders)</v>
      </c>
      <c r="D132" s="7" t="str">
        <f>IFERROR(__xludf.DUMMYFUNCTION("""COMPUTED_VALUE"""),"Darmstadt")</f>
        <v>Darmstadt</v>
      </c>
      <c r="E132" s="7" t="str">
        <f>IFERROR(__xludf.DUMMYFUNCTION("""COMPUTED_VALUE"""),"Merck KGaA")</f>
        <v>Merck KGaA</v>
      </c>
      <c r="F132" s="7" t="str">
        <f>IFERROR(__xludf.DUMMYFUNCTION("""COMPUTED_VALUE"""),"None")</f>
        <v>None</v>
      </c>
      <c r="G132" s="7" t="str">
        <f>IFERROR(__xludf.DUMMYFUNCTION("""COMPUTED_VALUE"""),"No salary data")</f>
        <v>No salary data</v>
      </c>
      <c r="H132" s="7" t="str">
        <f>IFERROR(__xludf.DUMMYFUNCTION("""COMPUTED_VALUE"""),"No salary data")</f>
        <v>No salary data</v>
      </c>
      <c r="I132" s="7" t="str">
        <f>IFERROR(__xludf.DUMMYFUNCTION("""COMPUTED_VALUE"""),"No salary data")</f>
        <v>No salary data</v>
      </c>
      <c r="J132" s="7" t="str">
        <f>IFERROR(__xludf.DUMMYFUNCTION("""COMPUTED_VALUE"""),"Python, SQL, Excel, Machine Learning, Git, Agile, Scrum")</f>
        <v>Python, SQL, Excel, Machine Learning, Git, Agile, Scrum</v>
      </c>
      <c r="K132" s="7" t="str">
        <f>IFERROR(__xludf.DUMMYFUNCTION("""COMPUTED_VALUE"""),"Full-Time")</f>
        <v>Full-Time</v>
      </c>
      <c r="L132" s="7" t="str">
        <f>IFERROR(__xludf.DUMMYFUNCTION("""COMPUTED_VALUE"""),"4,1")</f>
        <v>4,1</v>
      </c>
      <c r="M132" s="7"/>
      <c r="N132" s="7"/>
      <c r="O132" s="7"/>
    </row>
    <row r="133">
      <c r="A133" s="29">
        <f>IFERROR(__xludf.DUMMYFUNCTION("""COMPUTED_VALUE"""),129.0)</f>
        <v>129</v>
      </c>
      <c r="B133" s="7" t="str">
        <f>IFERROR(__xludf.DUMMYFUNCTION("""COMPUTED_VALUE"""),"vor 17 Tagen")</f>
        <v>vor 17 Tagen</v>
      </c>
      <c r="C133" s="7" t="str">
        <f>IFERROR(__xludf.DUMMYFUNCTION("""COMPUTED_VALUE"""),"Junior Data Engineer (m/w/d)")</f>
        <v>Junior Data Engineer (m/w/d)</v>
      </c>
      <c r="D133" s="7" t="str">
        <f>IFERROR(__xludf.DUMMYFUNCTION("""COMPUTED_VALUE"""),"Deutschland")</f>
        <v>Deutschland</v>
      </c>
      <c r="E133" s="7" t="str">
        <f>IFERROR(__xludf.DUMMYFUNCTION("""COMPUTED_VALUE"""),"SKS Unternehmensberatung")</f>
        <v>SKS Unternehmensberatung</v>
      </c>
      <c r="F133" s="7" t="str">
        <f>IFERROR(__xludf.DUMMYFUNCTION("""COMPUTED_VALUE"""),"None")</f>
        <v>None</v>
      </c>
      <c r="G133" s="7" t="str">
        <f>IFERROR(__xludf.DUMMYFUNCTION("""COMPUTED_VALUE"""),"No salary data")</f>
        <v>No salary data</v>
      </c>
      <c r="H133" s="7" t="str">
        <f>IFERROR(__xludf.DUMMYFUNCTION("""COMPUTED_VALUE"""),"No salary data")</f>
        <v>No salary data</v>
      </c>
      <c r="I133" s="7" t="str">
        <f>IFERROR(__xludf.DUMMYFUNCTION("""COMPUTED_VALUE"""),"No salary data")</f>
        <v>No salary data</v>
      </c>
      <c r="J133" s="7"/>
      <c r="K133" s="7" t="str">
        <f>IFERROR(__xludf.DUMMYFUNCTION("""COMPUTED_VALUE"""),"No job type data")</f>
        <v>No job type data</v>
      </c>
      <c r="L133" s="7" t="str">
        <f>IFERROR(__xludf.DUMMYFUNCTION("""COMPUTED_VALUE"""),"None")</f>
        <v>None</v>
      </c>
      <c r="M133" s="7"/>
      <c r="N133" s="7"/>
      <c r="O133" s="7"/>
    </row>
    <row r="134">
      <c r="A134" s="29">
        <f>IFERROR(__xludf.DUMMYFUNCTION("""COMPUTED_VALUE"""),130.0)</f>
        <v>130</v>
      </c>
      <c r="B134" s="7" t="str">
        <f>IFERROR(__xludf.DUMMYFUNCTION("""COMPUTED_VALUE"""),"Vor mehr als 30 Tagen")</f>
        <v>Vor mehr als 30 Tagen</v>
      </c>
      <c r="C134" s="7" t="str">
        <f>IFERROR(__xludf.DUMMYFUNCTION("""COMPUTED_VALUE"""),"Data Analyst")</f>
        <v>Data Analyst</v>
      </c>
      <c r="D134" s="7" t="str">
        <f>IFERROR(__xludf.DUMMYFUNCTION("""COMPUTED_VALUE"""),"Berlin")</f>
        <v>Berlin</v>
      </c>
      <c r="E134" s="7" t="str">
        <f>IFERROR(__xludf.DUMMYFUNCTION("""COMPUTED_VALUE"""),"Jam City")</f>
        <v>Jam City</v>
      </c>
      <c r="F134" s="7" t="str">
        <f>IFERROR(__xludf.DUMMYFUNCTION("""COMPUTED_VALUE"""),"None")</f>
        <v>None</v>
      </c>
      <c r="G134" s="7" t="str">
        <f>IFERROR(__xludf.DUMMYFUNCTION("""COMPUTED_VALUE"""),"No salary data")</f>
        <v>No salary data</v>
      </c>
      <c r="H134" s="7" t="str">
        <f>IFERROR(__xludf.DUMMYFUNCTION("""COMPUTED_VALUE"""),"No salary data")</f>
        <v>No salary data</v>
      </c>
      <c r="I134" s="7" t="str">
        <f>IFERROR(__xludf.DUMMYFUNCTION("""COMPUTED_VALUE"""),"No salary data")</f>
        <v>No salary data</v>
      </c>
      <c r="J134" s="7" t="str">
        <f>IFERROR(__xludf.DUMMYFUNCTION("""COMPUTED_VALUE"""),"Python, SQL, Tableau, Excel, Machine Learning, Statistic")</f>
        <v>Python, SQL, Tableau, Excel, Machine Learning, Statistic</v>
      </c>
      <c r="K134" s="7" t="str">
        <f>IFERROR(__xludf.DUMMYFUNCTION("""COMPUTED_VALUE"""),"No job type data")</f>
        <v>No job type data</v>
      </c>
      <c r="L134" s="7" t="str">
        <f>IFERROR(__xludf.DUMMYFUNCTION("""COMPUTED_VALUE"""),"None")</f>
        <v>None</v>
      </c>
      <c r="M134" s="7"/>
      <c r="N134" s="7"/>
      <c r="O134" s="7"/>
    </row>
    <row r="135">
      <c r="A135" s="29">
        <f>IFERROR(__xludf.DUMMYFUNCTION("""COMPUTED_VALUE"""),131.0)</f>
        <v>131</v>
      </c>
      <c r="B135" s="7" t="str">
        <f>IFERROR(__xludf.DUMMYFUNCTION("""COMPUTED_VALUE"""),"vor 19 Tagen")</f>
        <v>vor 19 Tagen</v>
      </c>
      <c r="C135" s="7" t="str">
        <f>IFERROR(__xludf.DUMMYFUNCTION("""COMPUTED_VALUE"""),"Data Engineer - E-Commerce (m/w/d) - Wiesbaden")</f>
        <v>Data Engineer - E-Commerce (m/w/d) - Wiesbaden</v>
      </c>
      <c r="D135" s="7" t="str">
        <f>IFERROR(__xludf.DUMMYFUNCTION("""COMPUTED_VALUE"""),"Deutschland")</f>
        <v>Deutschland</v>
      </c>
      <c r="E135" s="7" t="str">
        <f>IFERROR(__xludf.DUMMYFUNCTION("""COMPUTED_VALUE"""),"Fitvia GmbH")</f>
        <v>Fitvia GmbH</v>
      </c>
      <c r="F135" s="7" t="str">
        <f>IFERROR(__xludf.DUMMYFUNCTION("""COMPUTED_VALUE"""),"None")</f>
        <v>None</v>
      </c>
      <c r="G135" s="7" t="str">
        <f>IFERROR(__xludf.DUMMYFUNCTION("""COMPUTED_VALUE"""),"No salary data")</f>
        <v>No salary data</v>
      </c>
      <c r="H135" s="7" t="str">
        <f>IFERROR(__xludf.DUMMYFUNCTION("""COMPUTED_VALUE"""),"No salary data")</f>
        <v>No salary data</v>
      </c>
      <c r="I135" s="7" t="str">
        <f>IFERROR(__xludf.DUMMYFUNCTION("""COMPUTED_VALUE"""),"No salary data")</f>
        <v>No salary data</v>
      </c>
      <c r="J135" s="7" t="str">
        <f>IFERROR(__xludf.DUMMYFUNCTION("""COMPUTED_VALUE"""),"SQL, Tableau, Git, Linux")</f>
        <v>SQL, Tableau, Git, Linux</v>
      </c>
      <c r="K135" s="7" t="str">
        <f>IFERROR(__xludf.DUMMYFUNCTION("""COMPUTED_VALUE"""),"No job type data")</f>
        <v>No job type data</v>
      </c>
      <c r="L135" s="7" t="str">
        <f>IFERROR(__xludf.DUMMYFUNCTION("""COMPUTED_VALUE"""),"4,0")</f>
        <v>4,0</v>
      </c>
      <c r="M135" s="7"/>
      <c r="N135" s="7"/>
      <c r="O135" s="7"/>
    </row>
    <row r="136">
      <c r="A136" s="29">
        <f>IFERROR(__xludf.DUMMYFUNCTION("""COMPUTED_VALUE"""),132.0)</f>
        <v>132</v>
      </c>
      <c r="B136" s="7" t="str">
        <f>IFERROR(__xludf.DUMMYFUNCTION("""COMPUTED_VALUE"""),"vor 4 Tagen")</f>
        <v>vor 4 Tagen</v>
      </c>
      <c r="C136" s="7" t="str">
        <f>IFERROR(__xludf.DUMMYFUNCTION("""COMPUTED_VALUE"""),"Scientific Programmer (f/m/d) - Bioinformatics")</f>
        <v>Scientific Programmer (f/m/d) - Bioinformatics</v>
      </c>
      <c r="D136" s="7" t="str">
        <f>IFERROR(__xludf.DUMMYFUNCTION("""COMPUTED_VALUE"""),"Göttingen")</f>
        <v>Göttingen</v>
      </c>
      <c r="E136" s="7" t="str">
        <f>IFERROR(__xludf.DUMMYFUNCTION("""COMPUTED_VALUE"""),"Evotec")</f>
        <v>Evotec</v>
      </c>
      <c r="F136" s="7" t="str">
        <f>IFERROR(__xludf.DUMMYFUNCTION("""COMPUTED_VALUE"""),"None")</f>
        <v>None</v>
      </c>
      <c r="G136" s="7" t="str">
        <f>IFERROR(__xludf.DUMMYFUNCTION("""COMPUTED_VALUE"""),"No salary data")</f>
        <v>No salary data</v>
      </c>
      <c r="H136" s="7" t="str">
        <f>IFERROR(__xludf.DUMMYFUNCTION("""COMPUTED_VALUE"""),"No salary data")</f>
        <v>No salary data</v>
      </c>
      <c r="I136" s="7" t="str">
        <f>IFERROR(__xludf.DUMMYFUNCTION("""COMPUTED_VALUE"""),"No salary data")</f>
        <v>No salary data</v>
      </c>
      <c r="J136" s="7" t="str">
        <f>IFERROR(__xludf.DUMMYFUNCTION("""COMPUTED_VALUE"""),"Python, Excel, Statistic")</f>
        <v>Python, Excel, Statistic</v>
      </c>
      <c r="K136" s="7" t="str">
        <f>IFERROR(__xludf.DUMMYFUNCTION("""COMPUTED_VALUE"""),"Full-Time")</f>
        <v>Full-Time</v>
      </c>
      <c r="L136" s="7" t="str">
        <f>IFERROR(__xludf.DUMMYFUNCTION("""COMPUTED_VALUE"""),"None")</f>
        <v>None</v>
      </c>
      <c r="M136" s="7"/>
      <c r="N136" s="7"/>
      <c r="O136" s="7"/>
    </row>
    <row r="137">
      <c r="A137" s="29">
        <f>IFERROR(__xludf.DUMMYFUNCTION("""COMPUTED_VALUE"""),133.0)</f>
        <v>133</v>
      </c>
      <c r="B137" s="7" t="str">
        <f>IFERROR(__xludf.DUMMYFUNCTION("""COMPUTED_VALUE"""),"vor 5 Tagen")</f>
        <v>vor 5 Tagen</v>
      </c>
      <c r="C137" s="7" t="str">
        <f>IFERROR(__xludf.DUMMYFUNCTION("""COMPUTED_VALUE"""),"Business Intelligence Engineer - Data Insights")</f>
        <v>Business Intelligence Engineer - Data Insights</v>
      </c>
      <c r="D137" s="7" t="str">
        <f>IFERROR(__xludf.DUMMYFUNCTION("""COMPUTED_VALUE"""),"Berlin")</f>
        <v>Berlin</v>
      </c>
      <c r="E137" s="7" t="str">
        <f>IFERROR(__xludf.DUMMYFUNCTION("""COMPUTED_VALUE"""),"Zalando")</f>
        <v>Zalando</v>
      </c>
      <c r="F137" s="7" t="str">
        <f>IFERROR(__xludf.DUMMYFUNCTION("""COMPUTED_VALUE"""),"None")</f>
        <v>None</v>
      </c>
      <c r="G137" s="7" t="str">
        <f>IFERROR(__xludf.DUMMYFUNCTION("""COMPUTED_VALUE"""),"No salary data")</f>
        <v>No salary data</v>
      </c>
      <c r="H137" s="7" t="str">
        <f>IFERROR(__xludf.DUMMYFUNCTION("""COMPUTED_VALUE"""),"No salary data")</f>
        <v>No salary data</v>
      </c>
      <c r="I137" s="7" t="str">
        <f>IFERROR(__xludf.DUMMYFUNCTION("""COMPUTED_VALUE"""),"No salary data")</f>
        <v>No salary data</v>
      </c>
      <c r="J137" s="7" t="str">
        <f>IFERROR(__xludf.DUMMYFUNCTION("""COMPUTED_VALUE"""),"SQL, Excel, Git")</f>
        <v>SQL, Excel, Git</v>
      </c>
      <c r="K137" s="7" t="str">
        <f>IFERROR(__xludf.DUMMYFUNCTION("""COMPUTED_VALUE"""),"Volunteer")</f>
        <v>Volunteer</v>
      </c>
      <c r="L137" s="7" t="str">
        <f>IFERROR(__xludf.DUMMYFUNCTION("""COMPUTED_VALUE"""),"3,1")</f>
        <v>3,1</v>
      </c>
      <c r="M137" s="7"/>
      <c r="N137" s="7"/>
      <c r="O137" s="7"/>
    </row>
    <row r="138">
      <c r="A138" s="29">
        <f>IFERROR(__xludf.DUMMYFUNCTION("""COMPUTED_VALUE"""),134.0)</f>
        <v>134</v>
      </c>
      <c r="B138" s="7" t="str">
        <f>IFERROR(__xludf.DUMMYFUNCTION("""COMPUTED_VALUE"""),"vor 12 Tagen")</f>
        <v>vor 12 Tagen</v>
      </c>
      <c r="C138" s="7" t="str">
        <f>IFERROR(__xludf.DUMMYFUNCTION("""COMPUTED_VALUE"""),"Data Engineer")</f>
        <v>Data Engineer</v>
      </c>
      <c r="D138" s="7" t="str">
        <f>IFERROR(__xludf.DUMMYFUNCTION("""COMPUTED_VALUE"""),"Biberach an der Riß")</f>
        <v>Biberach an der Riß</v>
      </c>
      <c r="E138" s="7" t="str">
        <f>IFERROR(__xludf.DUMMYFUNCTION("""COMPUTED_VALUE"""),"Boehringer Ingelheim")</f>
        <v>Boehringer Ingelheim</v>
      </c>
      <c r="F138" s="7" t="str">
        <f>IFERROR(__xludf.DUMMYFUNCTION("""COMPUTED_VALUE"""),"None")</f>
        <v>None</v>
      </c>
      <c r="G138" s="7" t="str">
        <f>IFERROR(__xludf.DUMMYFUNCTION("""COMPUTED_VALUE"""),"No salary data")</f>
        <v>No salary data</v>
      </c>
      <c r="H138" s="7" t="str">
        <f>IFERROR(__xludf.DUMMYFUNCTION("""COMPUTED_VALUE"""),"No salary data")</f>
        <v>No salary data</v>
      </c>
      <c r="I138" s="7" t="str">
        <f>IFERROR(__xludf.DUMMYFUNCTION("""COMPUTED_VALUE"""),"No salary data")</f>
        <v>No salary data</v>
      </c>
      <c r="J138" s="7" t="str">
        <f>IFERROR(__xludf.DUMMYFUNCTION("""COMPUTED_VALUE"""),"Python, SQL, Excel, Git")</f>
        <v>Python, SQL, Excel, Git</v>
      </c>
      <c r="K138" s="7" t="str">
        <f>IFERROR(__xludf.DUMMYFUNCTION("""COMPUTED_VALUE"""),"Full-Time")</f>
        <v>Full-Time</v>
      </c>
      <c r="L138" s="7" t="str">
        <f>IFERROR(__xludf.DUMMYFUNCTION("""COMPUTED_VALUE"""),"4,1")</f>
        <v>4,1</v>
      </c>
      <c r="M138" s="7"/>
      <c r="N138" s="7"/>
      <c r="O138" s="7"/>
    </row>
    <row r="139">
      <c r="A139" s="29">
        <f>IFERROR(__xludf.DUMMYFUNCTION("""COMPUTED_VALUE"""),135.0)</f>
        <v>135</v>
      </c>
      <c r="B139" s="7" t="str">
        <f>IFERROR(__xludf.DUMMYFUNCTION("""COMPUTED_VALUE"""),"Vor mehr als 30 Tagen")</f>
        <v>Vor mehr als 30 Tagen</v>
      </c>
      <c r="C139" s="7" t="str">
        <f>IFERROR(__xludf.DUMMYFUNCTION("""COMPUTED_VALUE"""),"Data Warehouse Engineer")</f>
        <v>Data Warehouse Engineer</v>
      </c>
      <c r="D139" s="7" t="str">
        <f>IFERROR(__xludf.DUMMYFUNCTION("""COMPUTED_VALUE"""),"Berlin")</f>
        <v>Berlin</v>
      </c>
      <c r="E139" s="7" t="str">
        <f>IFERROR(__xludf.DUMMYFUNCTION("""COMPUTED_VALUE"""),"wefox Group")</f>
        <v>wefox Group</v>
      </c>
      <c r="F139" s="7" t="str">
        <f>IFERROR(__xludf.DUMMYFUNCTION("""COMPUTED_VALUE"""),"None")</f>
        <v>None</v>
      </c>
      <c r="G139" s="7" t="str">
        <f>IFERROR(__xludf.DUMMYFUNCTION("""COMPUTED_VALUE"""),"No salary data")</f>
        <v>No salary data</v>
      </c>
      <c r="H139" s="7" t="str">
        <f>IFERROR(__xludf.DUMMYFUNCTION("""COMPUTED_VALUE"""),"No salary data")</f>
        <v>No salary data</v>
      </c>
      <c r="I139" s="7" t="str">
        <f>IFERROR(__xludf.DUMMYFUNCTION("""COMPUTED_VALUE"""),"No salary data")</f>
        <v>No salary data</v>
      </c>
      <c r="J139" s="7" t="str">
        <f>IFERROR(__xludf.DUMMYFUNCTION("""COMPUTED_VALUE"""),"Python, SQL, Git")</f>
        <v>Python, SQL, Git</v>
      </c>
      <c r="K139" s="7" t="str">
        <f>IFERROR(__xludf.DUMMYFUNCTION("""COMPUTED_VALUE"""),"Contract")</f>
        <v>Contract</v>
      </c>
      <c r="L139" s="7" t="str">
        <f>IFERROR(__xludf.DUMMYFUNCTION("""COMPUTED_VALUE"""),"None")</f>
        <v>None</v>
      </c>
      <c r="M139" s="7"/>
      <c r="N139" s="7"/>
      <c r="O139" s="7"/>
    </row>
    <row r="140">
      <c r="A140" s="29">
        <f>IFERROR(__xludf.DUMMYFUNCTION("""COMPUTED_VALUE"""),136.0)</f>
        <v>136</v>
      </c>
      <c r="B140" s="7" t="str">
        <f>IFERROR(__xludf.DUMMYFUNCTION("""COMPUTED_VALUE"""),"Vor mehr als 30 Tagen")</f>
        <v>Vor mehr als 30 Tagen</v>
      </c>
      <c r="C140" s="7" t="str">
        <f>IFERROR(__xludf.DUMMYFUNCTION("""COMPUTED_VALUE"""),"Werkstudent (m/w/d) - Big Data &amp; Artificial Intelligence Com...")</f>
        <v>Werkstudent (m/w/d) - Big Data &amp; Artificial Intelligence Com...</v>
      </c>
      <c r="D140" s="7" t="str">
        <f>IFERROR(__xludf.DUMMYFUNCTION("""COMPUTED_VALUE"""),"Karlsruhe")</f>
        <v>Karlsruhe</v>
      </c>
      <c r="E140" s="7" t="str">
        <f>IFERROR(__xludf.DUMMYFUNCTION("""COMPUTED_VALUE"""),"1&amp;1 IONOS SE")</f>
        <v>1&amp;1 IONOS SE</v>
      </c>
      <c r="F140" s="7" t="str">
        <f>IFERROR(__xludf.DUMMYFUNCTION("""COMPUTED_VALUE"""),"None")</f>
        <v>None</v>
      </c>
      <c r="G140" s="7" t="str">
        <f>IFERROR(__xludf.DUMMYFUNCTION("""COMPUTED_VALUE"""),"No salary data")</f>
        <v>No salary data</v>
      </c>
      <c r="H140" s="7" t="str">
        <f>IFERROR(__xludf.DUMMYFUNCTION("""COMPUTED_VALUE"""),"No salary data")</f>
        <v>No salary data</v>
      </c>
      <c r="I140" s="7" t="str">
        <f>IFERROR(__xludf.DUMMYFUNCTION("""COMPUTED_VALUE"""),"No salary data")</f>
        <v>No salary data</v>
      </c>
      <c r="J140" s="7" t="str">
        <f>IFERROR(__xludf.DUMMYFUNCTION("""COMPUTED_VALUE"""),"Python, SQL, Machine Learning, Agile")</f>
        <v>Python, SQL, Machine Learning, Agile</v>
      </c>
      <c r="K140" s="7" t="str">
        <f>IFERROR(__xludf.DUMMYFUNCTION("""COMPUTED_VALUE"""),"No job type data")</f>
        <v>No job type data</v>
      </c>
      <c r="L140" s="7" t="str">
        <f>IFERROR(__xludf.DUMMYFUNCTION("""COMPUTED_VALUE"""),"None")</f>
        <v>None</v>
      </c>
      <c r="M140" s="7"/>
      <c r="N140" s="7"/>
      <c r="O140" s="7"/>
    </row>
    <row r="141">
      <c r="A141" s="29">
        <f>IFERROR(__xludf.DUMMYFUNCTION("""COMPUTED_VALUE"""),137.0)</f>
        <v>137</v>
      </c>
      <c r="B141" s="7" t="str">
        <f>IFERROR(__xludf.DUMMYFUNCTION("""COMPUTED_VALUE"""),"Vor mehr als 30 Tagen")</f>
        <v>Vor mehr als 30 Tagen</v>
      </c>
      <c r="C141" s="7" t="str">
        <f>IFERROR(__xludf.DUMMYFUNCTION("""COMPUTED_VALUE"""),"Junior Data Consultant")</f>
        <v>Junior Data Consultant</v>
      </c>
      <c r="D141" s="7" t="str">
        <f>IFERROR(__xludf.DUMMYFUNCTION("""COMPUTED_VALUE"""),"Hamburg")</f>
        <v>Hamburg</v>
      </c>
      <c r="E141" s="7" t="str">
        <f>IFERROR(__xludf.DUMMYFUNCTION("""COMPUTED_VALUE"""),"Artefact")</f>
        <v>Artefact</v>
      </c>
      <c r="F141" s="7" t="str">
        <f>IFERROR(__xludf.DUMMYFUNCTION("""COMPUTED_VALUE"""),"None")</f>
        <v>None</v>
      </c>
      <c r="G141" s="7" t="str">
        <f>IFERROR(__xludf.DUMMYFUNCTION("""COMPUTED_VALUE"""),"No salary data")</f>
        <v>No salary data</v>
      </c>
      <c r="H141" s="7" t="str">
        <f>IFERROR(__xludf.DUMMYFUNCTION("""COMPUTED_VALUE"""),"No salary data")</f>
        <v>No salary data</v>
      </c>
      <c r="I141" s="7" t="str">
        <f>IFERROR(__xludf.DUMMYFUNCTION("""COMPUTED_VALUE"""),"No salary data")</f>
        <v>No salary data</v>
      </c>
      <c r="J141" s="7" t="str">
        <f>IFERROR(__xludf.DUMMYFUNCTION("""COMPUTED_VALUE"""),"Git, Agile")</f>
        <v>Git, Agile</v>
      </c>
      <c r="K141" s="7" t="str">
        <f>IFERROR(__xludf.DUMMYFUNCTION("""COMPUTED_VALUE"""),"No job type data")</f>
        <v>No job type data</v>
      </c>
      <c r="L141" s="7" t="str">
        <f>IFERROR(__xludf.DUMMYFUNCTION("""COMPUTED_VALUE"""),"None")</f>
        <v>None</v>
      </c>
      <c r="M141" s="7"/>
      <c r="N141" s="7"/>
      <c r="O141" s="7"/>
    </row>
    <row r="142">
      <c r="A142" s="29">
        <f>IFERROR(__xludf.DUMMYFUNCTION("""COMPUTED_VALUE"""),138.0)</f>
        <v>138</v>
      </c>
      <c r="B142" s="7" t="str">
        <f>IFERROR(__xludf.DUMMYFUNCTION("""COMPUTED_VALUE"""),"vor 10 Tagen")</f>
        <v>vor 10 Tagen</v>
      </c>
      <c r="C142" s="7" t="str">
        <f>IFERROR(__xludf.DUMMYFUNCTION("""COMPUTED_VALUE"""),"Discover Trainee (m/f/d) Technology / IT")</f>
        <v>Discover Trainee (m/f/d) Technology / IT</v>
      </c>
      <c r="D142" s="7" t="str">
        <f>IFERROR(__xludf.DUMMYFUNCTION("""COMPUTED_VALUE"""),"Düsseldorf")</f>
        <v>Düsseldorf</v>
      </c>
      <c r="E142" s="7" t="str">
        <f>IFERROR(__xludf.DUMMYFUNCTION("""COMPUTED_VALUE"""),"Vodafone")</f>
        <v>Vodafone</v>
      </c>
      <c r="F142" s="7" t="str">
        <f>IFERROR(__xludf.DUMMYFUNCTION("""COMPUTED_VALUE"""),"None")</f>
        <v>None</v>
      </c>
      <c r="G142" s="7" t="str">
        <f>IFERROR(__xludf.DUMMYFUNCTION("""COMPUTED_VALUE"""),"No salary data")</f>
        <v>No salary data</v>
      </c>
      <c r="H142" s="7" t="str">
        <f>IFERROR(__xludf.DUMMYFUNCTION("""COMPUTED_VALUE"""),"No salary data")</f>
        <v>No salary data</v>
      </c>
      <c r="I142" s="7" t="str">
        <f>IFERROR(__xludf.DUMMYFUNCTION("""COMPUTED_VALUE"""),"No salary data")</f>
        <v>No salary data</v>
      </c>
      <c r="J142" s="7" t="str">
        <f>IFERROR(__xludf.DUMMYFUNCTION("""COMPUTED_VALUE"""),"Machine Learning, Git, Agile")</f>
        <v>Machine Learning, Git, Agile</v>
      </c>
      <c r="K142" s="7" t="str">
        <f>IFERROR(__xludf.DUMMYFUNCTION("""COMPUTED_VALUE"""),"Internship")</f>
        <v>Internship</v>
      </c>
      <c r="L142" s="7" t="str">
        <f>IFERROR(__xludf.DUMMYFUNCTION("""COMPUTED_VALUE"""),"3,9")</f>
        <v>3,9</v>
      </c>
      <c r="M142" s="7"/>
      <c r="N142" s="7"/>
      <c r="O142" s="7"/>
    </row>
    <row r="143">
      <c r="A143" s="29">
        <f>IFERROR(__xludf.DUMMYFUNCTION("""COMPUTED_VALUE"""),139.0)</f>
        <v>139</v>
      </c>
      <c r="B143" s="7" t="str">
        <f>IFERROR(__xludf.DUMMYFUNCTION("""COMPUTED_VALUE"""),"Vor mehr als 30 Tagen")</f>
        <v>Vor mehr als 30 Tagen</v>
      </c>
      <c r="C143" s="7" t="str">
        <f>IFERROR(__xludf.DUMMYFUNCTION("""COMPUTED_VALUE"""),"Business Intelligence / Data Analyst (m/w/d)")</f>
        <v>Business Intelligence / Data Analyst (m/w/d)</v>
      </c>
      <c r="D143" s="7" t="str">
        <f>IFERROR(__xludf.DUMMYFUNCTION("""COMPUTED_VALUE"""),"Bremen")</f>
        <v>Bremen</v>
      </c>
      <c r="E143" s="7" t="str">
        <f>IFERROR(__xludf.DUMMYFUNCTION("""COMPUTED_VALUE"""),"Consultix")</f>
        <v>Consultix</v>
      </c>
      <c r="F143" s="7" t="str">
        <f>IFERROR(__xludf.DUMMYFUNCTION("""COMPUTED_VALUE"""),"None")</f>
        <v>None</v>
      </c>
      <c r="G143" s="7" t="str">
        <f>IFERROR(__xludf.DUMMYFUNCTION("""COMPUTED_VALUE"""),"No salary data")</f>
        <v>No salary data</v>
      </c>
      <c r="H143" s="7" t="str">
        <f>IFERROR(__xludf.DUMMYFUNCTION("""COMPUTED_VALUE"""),"No salary data")</f>
        <v>No salary data</v>
      </c>
      <c r="I143" s="7" t="str">
        <f>IFERROR(__xludf.DUMMYFUNCTION("""COMPUTED_VALUE"""),"No salary data")</f>
        <v>No salary data</v>
      </c>
      <c r="J143" s="7" t="str">
        <f>IFERROR(__xludf.DUMMYFUNCTION("""COMPUTED_VALUE"""),"SQL, Excel")</f>
        <v>SQL, Excel</v>
      </c>
      <c r="K143" s="7" t="str">
        <f>IFERROR(__xludf.DUMMYFUNCTION("""COMPUTED_VALUE"""),"No job type data")</f>
        <v>No job type data</v>
      </c>
      <c r="L143" s="7" t="str">
        <f>IFERROR(__xludf.DUMMYFUNCTION("""COMPUTED_VALUE"""),"None")</f>
        <v>None</v>
      </c>
      <c r="M143" s="7"/>
      <c r="N143" s="7"/>
      <c r="O143" s="7"/>
    </row>
    <row r="144">
      <c r="A144" s="29">
        <f>IFERROR(__xludf.DUMMYFUNCTION("""COMPUTED_VALUE"""),140.0)</f>
        <v>140</v>
      </c>
      <c r="B144" s="7" t="str">
        <f>IFERROR(__xludf.DUMMYFUNCTION("""COMPUTED_VALUE"""),"vor 28 Tagen")</f>
        <v>vor 28 Tagen</v>
      </c>
      <c r="C144" s="7" t="str">
        <f>IFERROR(__xludf.DUMMYFUNCTION("""COMPUTED_VALUE"""),"Working Student Data Engineering (f/m/d, 40-100%)")</f>
        <v>Working Student Data Engineering (f/m/d, 40-100%)</v>
      </c>
      <c r="D144" s="7" t="str">
        <f>IFERROR(__xludf.DUMMYFUNCTION("""COMPUTED_VALUE"""),"Köln")</f>
        <v>Köln</v>
      </c>
      <c r="E144" s="7" t="str">
        <f>IFERROR(__xludf.DUMMYFUNCTION("""COMPUTED_VALUE"""),"Climeworks")</f>
        <v>Climeworks</v>
      </c>
      <c r="F144" s="7" t="str">
        <f>IFERROR(__xludf.DUMMYFUNCTION("""COMPUTED_VALUE"""),"None")</f>
        <v>None</v>
      </c>
      <c r="G144" s="7" t="str">
        <f>IFERROR(__xludf.DUMMYFUNCTION("""COMPUTED_VALUE"""),"No salary data")</f>
        <v>No salary data</v>
      </c>
      <c r="H144" s="7" t="str">
        <f>IFERROR(__xludf.DUMMYFUNCTION("""COMPUTED_VALUE"""),"No salary data")</f>
        <v>No salary data</v>
      </c>
      <c r="I144" s="7" t="str">
        <f>IFERROR(__xludf.DUMMYFUNCTION("""COMPUTED_VALUE"""),"No salary data")</f>
        <v>No salary data</v>
      </c>
      <c r="J144" s="7" t="str">
        <f>IFERROR(__xludf.DUMMYFUNCTION("""COMPUTED_VALUE"""),"Python")</f>
        <v>Python</v>
      </c>
      <c r="K144" s="7" t="str">
        <f>IFERROR(__xludf.DUMMYFUNCTION("""COMPUTED_VALUE"""),"No job type data")</f>
        <v>No job type data</v>
      </c>
      <c r="L144" s="7" t="str">
        <f>IFERROR(__xludf.DUMMYFUNCTION("""COMPUTED_VALUE"""),"None")</f>
        <v>None</v>
      </c>
      <c r="M144" s="7"/>
      <c r="N144" s="7"/>
      <c r="O144" s="7"/>
    </row>
    <row r="145">
      <c r="A145" s="29">
        <f>IFERROR(__xludf.DUMMYFUNCTION("""COMPUTED_VALUE"""),141.0)</f>
        <v>141</v>
      </c>
      <c r="B145" s="7" t="str">
        <f>IFERROR(__xludf.DUMMYFUNCTION("""COMPUTED_VALUE"""),"vor 4 Tagen")</f>
        <v>vor 4 Tagen</v>
      </c>
      <c r="C145" s="7" t="str">
        <f>IFERROR(__xludf.DUMMYFUNCTION("""COMPUTED_VALUE"""),"Data Architect / Engineer (Remote)")</f>
        <v>Data Architect / Engineer (Remote)</v>
      </c>
      <c r="D145" s="7" t="str">
        <f>IFERROR(__xludf.DUMMYFUNCTION("""COMPUTED_VALUE"""),"Home Office")</f>
        <v>Home Office</v>
      </c>
      <c r="E145" s="7" t="str">
        <f>IFERROR(__xludf.DUMMYFUNCTION("""COMPUTED_VALUE"""),"Borg Collective GmbH")</f>
        <v>Borg Collective GmbH</v>
      </c>
      <c r="F145" s="7" t="str">
        <f>IFERROR(__xludf.DUMMYFUNCTION("""COMPUTED_VALUE"""),"None")</f>
        <v>None</v>
      </c>
      <c r="G145" s="7" t="str">
        <f>IFERROR(__xludf.DUMMYFUNCTION("""COMPUTED_VALUE"""),"No salary data")</f>
        <v>No salary data</v>
      </c>
      <c r="H145" s="7" t="str">
        <f>IFERROR(__xludf.DUMMYFUNCTION("""COMPUTED_VALUE"""),"No salary data")</f>
        <v>No salary data</v>
      </c>
      <c r="I145" s="7" t="str">
        <f>IFERROR(__xludf.DUMMYFUNCTION("""COMPUTED_VALUE"""),"No salary data")</f>
        <v>No salary data</v>
      </c>
      <c r="J145" s="7" t="str">
        <f>IFERROR(__xludf.DUMMYFUNCTION("""COMPUTED_VALUE"""),"Python, Machine Learning, Deep Learning")</f>
        <v>Python, Machine Learning, Deep Learning</v>
      </c>
      <c r="K145" s="7" t="str">
        <f>IFERROR(__xludf.DUMMYFUNCTION("""COMPUTED_VALUE"""),"Full Time")</f>
        <v>Full Time</v>
      </c>
      <c r="L145" s="7" t="str">
        <f>IFERROR(__xludf.DUMMYFUNCTION("""COMPUTED_VALUE"""),"None")</f>
        <v>None</v>
      </c>
      <c r="M145" s="7"/>
      <c r="N145" s="7"/>
      <c r="O145" s="7"/>
    </row>
    <row r="146">
      <c r="A146" s="29">
        <f>IFERROR(__xludf.DUMMYFUNCTION("""COMPUTED_VALUE"""),142.0)</f>
        <v>142</v>
      </c>
      <c r="B146" s="7" t="str">
        <f>IFERROR(__xludf.DUMMYFUNCTION("""COMPUTED_VALUE"""),"Vor mehr als 30 Tagen")</f>
        <v>Vor mehr als 30 Tagen</v>
      </c>
      <c r="C146" s="7" t="str">
        <f>IFERROR(__xludf.DUMMYFUNCTION("""COMPUTED_VALUE"""),"Data Analyst (m/w/d)")</f>
        <v>Data Analyst (m/w/d)</v>
      </c>
      <c r="D146" s="7" t="str">
        <f>IFERROR(__xludf.DUMMYFUNCTION("""COMPUTED_VALUE"""),"Berlin")</f>
        <v>Berlin</v>
      </c>
      <c r="E146" s="7" t="str">
        <f>IFERROR(__xludf.DUMMYFUNCTION("""COMPUTED_VALUE"""),"plista GmbH")</f>
        <v>plista GmbH</v>
      </c>
      <c r="F146" s="7" t="str">
        <f>IFERROR(__xludf.DUMMYFUNCTION("""COMPUTED_VALUE"""),"None")</f>
        <v>None</v>
      </c>
      <c r="G146" s="7" t="str">
        <f>IFERROR(__xludf.DUMMYFUNCTION("""COMPUTED_VALUE"""),"No salary data")</f>
        <v>No salary data</v>
      </c>
      <c r="H146" s="7" t="str">
        <f>IFERROR(__xludf.DUMMYFUNCTION("""COMPUTED_VALUE"""),"No salary data")</f>
        <v>No salary data</v>
      </c>
      <c r="I146" s="7" t="str">
        <f>IFERROR(__xludf.DUMMYFUNCTION("""COMPUTED_VALUE"""),"No salary data")</f>
        <v>No salary data</v>
      </c>
      <c r="J146" s="7" t="str">
        <f>IFERROR(__xludf.DUMMYFUNCTION("""COMPUTED_VALUE"""),"Python, SQL, Tableau, Excel, Machine Learning, Deep Learning, Statistic, Git")</f>
        <v>Python, SQL, Tableau, Excel, Machine Learning, Deep Learning, Statistic, Git</v>
      </c>
      <c r="K146" s="7" t="str">
        <f>IFERROR(__xludf.DUMMYFUNCTION("""COMPUTED_VALUE"""),"No job type data")</f>
        <v>No job type data</v>
      </c>
      <c r="L146" s="7" t="str">
        <f>IFERROR(__xludf.DUMMYFUNCTION("""COMPUTED_VALUE"""),"None")</f>
        <v>None</v>
      </c>
      <c r="M146" s="7"/>
      <c r="N146" s="7"/>
      <c r="O146" s="7"/>
    </row>
    <row r="147">
      <c r="A147" s="29">
        <f>IFERROR(__xludf.DUMMYFUNCTION("""COMPUTED_VALUE"""),143.0)</f>
        <v>143</v>
      </c>
      <c r="B147" s="7" t="str">
        <f>IFERROR(__xludf.DUMMYFUNCTION("""COMPUTED_VALUE"""),"vor 5 Tagen")</f>
        <v>vor 5 Tagen</v>
      </c>
      <c r="C147" s="7" t="str">
        <f>IFERROR(__xludf.DUMMYFUNCTION("""COMPUTED_VALUE"""),"J18099 - Payload Data Ground Segment Systems Engineer (m/w/d...")</f>
        <v>J18099 - Payload Data Ground Segment Systems Engineer (m/w/d...</v>
      </c>
      <c r="D147" s="7" t="str">
        <f>IFERROR(__xludf.DUMMYFUNCTION("""COMPUTED_VALUE"""),"Darmstadt")</f>
        <v>Darmstadt</v>
      </c>
      <c r="E147" s="7" t="str">
        <f>IFERROR(__xludf.DUMMYFUNCTION("""COMPUTED_VALUE"""),"Telespazio VEGA Deutschland GmbH")</f>
        <v>Telespazio VEGA Deutschland GmbH</v>
      </c>
      <c r="F147" s="7" t="str">
        <f>IFERROR(__xludf.DUMMYFUNCTION("""COMPUTED_VALUE"""),"None")</f>
        <v>None</v>
      </c>
      <c r="G147" s="7" t="str">
        <f>IFERROR(__xludf.DUMMYFUNCTION("""COMPUTED_VALUE"""),"No salary data")</f>
        <v>No salary data</v>
      </c>
      <c r="H147" s="7" t="str">
        <f>IFERROR(__xludf.DUMMYFUNCTION("""COMPUTED_VALUE"""),"No salary data")</f>
        <v>No salary data</v>
      </c>
      <c r="I147" s="7" t="str">
        <f>IFERROR(__xludf.DUMMYFUNCTION("""COMPUTED_VALUE"""),"No salary data")</f>
        <v>No salary data</v>
      </c>
      <c r="J147" s="7" t="str">
        <f>IFERROR(__xludf.DUMMYFUNCTION("""COMPUTED_VALUE"""),"Python, SQL, Linux")</f>
        <v>Python, SQL, Linux</v>
      </c>
      <c r="K147" s="7" t="str">
        <f>IFERROR(__xludf.DUMMYFUNCTION("""COMPUTED_VALUE"""),"Full-Time")</f>
        <v>Full-Time</v>
      </c>
      <c r="L147" s="7" t="str">
        <f>IFERROR(__xludf.DUMMYFUNCTION("""COMPUTED_VALUE"""),"None")</f>
        <v>None</v>
      </c>
      <c r="M147" s="7"/>
      <c r="N147" s="7"/>
      <c r="O147" s="7"/>
    </row>
    <row r="148">
      <c r="A148" s="29">
        <f>IFERROR(__xludf.DUMMYFUNCTION("""COMPUTED_VALUE"""),144.0)</f>
        <v>144</v>
      </c>
      <c r="B148" s="7" t="str">
        <f>IFERROR(__xludf.DUMMYFUNCTION("""COMPUTED_VALUE"""),"vor 7 Tagen")</f>
        <v>vor 7 Tagen</v>
      </c>
      <c r="C148" s="7" t="str">
        <f>IFERROR(__xludf.DUMMYFUNCTION("""COMPUTED_VALUE"""),"IT Inhouse Consultant (PEP / Material Master Data) (m/w/d)")</f>
        <v>IT Inhouse Consultant (PEP / Material Master Data) (m/w/d)</v>
      </c>
      <c r="D148" s="7" t="str">
        <f>IFERROR(__xludf.DUMMYFUNCTION("""COMPUTED_VALUE"""),"Mulfingen")</f>
        <v>Mulfingen</v>
      </c>
      <c r="E148" s="7" t="str">
        <f>IFERROR(__xludf.DUMMYFUNCTION("""COMPUTED_VALUE"""),"ebm-papst")</f>
        <v>ebm-papst</v>
      </c>
      <c r="F148" s="7" t="str">
        <f>IFERROR(__xludf.DUMMYFUNCTION("""COMPUTED_VALUE"""),"None")</f>
        <v>None</v>
      </c>
      <c r="G148" s="7" t="str">
        <f>IFERROR(__xludf.DUMMYFUNCTION("""COMPUTED_VALUE"""),"No salary data")</f>
        <v>No salary data</v>
      </c>
      <c r="H148" s="7" t="str">
        <f>IFERROR(__xludf.DUMMYFUNCTION("""COMPUTED_VALUE"""),"No salary data")</f>
        <v>No salary data</v>
      </c>
      <c r="I148" s="7" t="str">
        <f>IFERROR(__xludf.DUMMYFUNCTION("""COMPUTED_VALUE"""),"No salary data")</f>
        <v>No salary data</v>
      </c>
      <c r="J148" s="7" t="str">
        <f>IFERROR(__xludf.DUMMYFUNCTION("""COMPUTED_VALUE"""),"Python, Agile")</f>
        <v>Python, Agile</v>
      </c>
      <c r="K148" s="7" t="str">
        <f>IFERROR(__xludf.DUMMYFUNCTION("""COMPUTED_VALUE"""),"No job type data")</f>
        <v>No job type data</v>
      </c>
      <c r="L148" s="7" t="str">
        <f>IFERROR(__xludf.DUMMYFUNCTION("""COMPUTED_VALUE"""),"3,2")</f>
        <v>3,2</v>
      </c>
      <c r="M148" s="7"/>
      <c r="N148" s="7"/>
      <c r="O148" s="7"/>
    </row>
    <row r="149">
      <c r="A149" s="29">
        <f>IFERROR(__xludf.DUMMYFUNCTION("""COMPUTED_VALUE"""),145.0)</f>
        <v>145</v>
      </c>
      <c r="B149" s="7" t="str">
        <f>IFERROR(__xludf.DUMMYFUNCTION("""COMPUTED_VALUE"""),"Vor mehr als 30 Tagen")</f>
        <v>Vor mehr als 30 Tagen</v>
      </c>
      <c r="C149" s="7" t="str">
        <f>IFERROR(__xludf.DUMMYFUNCTION("""COMPUTED_VALUE"""),"Data Engineering Consultant")</f>
        <v>Data Engineering Consultant</v>
      </c>
      <c r="D149" s="7" t="str">
        <f>IFERROR(__xludf.DUMMYFUNCTION("""COMPUTED_VALUE"""),"München")</f>
        <v>München</v>
      </c>
      <c r="E149" s="7" t="str">
        <f>IFERROR(__xludf.DUMMYFUNCTION("""COMPUTED_VALUE"""),"Munich Re")</f>
        <v>Munich Re</v>
      </c>
      <c r="F149" s="7" t="str">
        <f>IFERROR(__xludf.DUMMYFUNCTION("""COMPUTED_VALUE"""),"None")</f>
        <v>None</v>
      </c>
      <c r="G149" s="7" t="str">
        <f>IFERROR(__xludf.DUMMYFUNCTION("""COMPUTED_VALUE"""),"No salary data")</f>
        <v>No salary data</v>
      </c>
      <c r="H149" s="7" t="str">
        <f>IFERROR(__xludf.DUMMYFUNCTION("""COMPUTED_VALUE"""),"No salary data")</f>
        <v>No salary data</v>
      </c>
      <c r="I149" s="7" t="str">
        <f>IFERROR(__xludf.DUMMYFUNCTION("""COMPUTED_VALUE"""),"No salary data")</f>
        <v>No salary data</v>
      </c>
      <c r="J149" s="7" t="str">
        <f>IFERROR(__xludf.DUMMYFUNCTION("""COMPUTED_VALUE"""),"Python, SQL, Excel, Machine Learning, Deep Learning, Agile, Scrum")</f>
        <v>Python, SQL, Excel, Machine Learning, Deep Learning, Agile, Scrum</v>
      </c>
      <c r="K149" s="7" t="str">
        <f>IFERROR(__xludf.DUMMYFUNCTION("""COMPUTED_VALUE"""),"No job type data")</f>
        <v>No job type data</v>
      </c>
      <c r="L149" s="7" t="str">
        <f>IFERROR(__xludf.DUMMYFUNCTION("""COMPUTED_VALUE"""),"4,0")</f>
        <v>4,0</v>
      </c>
      <c r="M149" s="7"/>
      <c r="N149" s="7"/>
      <c r="O149" s="7"/>
    </row>
    <row r="150">
      <c r="A150" s="29">
        <f>IFERROR(__xludf.DUMMYFUNCTION("""COMPUTED_VALUE"""),146.0)</f>
        <v>146</v>
      </c>
      <c r="B150" s="7" t="str">
        <f>IFERROR(__xludf.DUMMYFUNCTION("""COMPUTED_VALUE"""),"Vor mehr als 30 Tagen")</f>
        <v>Vor mehr als 30 Tagen</v>
      </c>
      <c r="C150" s="7" t="str">
        <f>IFERROR(__xludf.DUMMYFUNCTION("""COMPUTED_VALUE"""),"Data Engineer (m/f/t)")</f>
        <v>Data Engineer (m/f/t)</v>
      </c>
      <c r="D150" s="7" t="str">
        <f>IFERROR(__xludf.DUMMYFUNCTION("""COMPUTED_VALUE"""),"Hamburg")</f>
        <v>Hamburg</v>
      </c>
      <c r="E150" s="7" t="str">
        <f>IFERROR(__xludf.DUMMYFUNCTION("""COMPUTED_VALUE"""),"Sport Alliance GmbH")</f>
        <v>Sport Alliance GmbH</v>
      </c>
      <c r="F150" s="7" t="str">
        <f>IFERROR(__xludf.DUMMYFUNCTION("""COMPUTED_VALUE"""),"None")</f>
        <v>None</v>
      </c>
      <c r="G150" s="7" t="str">
        <f>IFERROR(__xludf.DUMMYFUNCTION("""COMPUTED_VALUE"""),"No salary data")</f>
        <v>No salary data</v>
      </c>
      <c r="H150" s="7" t="str">
        <f>IFERROR(__xludf.DUMMYFUNCTION("""COMPUTED_VALUE"""),"No salary data")</f>
        <v>No salary data</v>
      </c>
      <c r="I150" s="7" t="str">
        <f>IFERROR(__xludf.DUMMYFUNCTION("""COMPUTED_VALUE"""),"No salary data")</f>
        <v>No salary data</v>
      </c>
      <c r="J150" s="7" t="str">
        <f>IFERROR(__xludf.DUMMYFUNCTION("""COMPUTED_VALUE"""),"Python, SQL, Machine Learning, Deep Learning, Git")</f>
        <v>Python, SQL, Machine Learning, Deep Learning, Git</v>
      </c>
      <c r="K150" s="7" t="str">
        <f>IFERROR(__xludf.DUMMYFUNCTION("""COMPUTED_VALUE"""),"No job type data")</f>
        <v>No job type data</v>
      </c>
      <c r="L150" s="7" t="str">
        <f>IFERROR(__xludf.DUMMYFUNCTION("""COMPUTED_VALUE"""),"None")</f>
        <v>None</v>
      </c>
      <c r="M150" s="7"/>
      <c r="N150" s="7"/>
      <c r="O150" s="7"/>
    </row>
    <row r="151">
      <c r="A151" s="29">
        <f>IFERROR(__xludf.DUMMYFUNCTION("""COMPUTED_VALUE"""),147.0)</f>
        <v>147</v>
      </c>
      <c r="B151" s="7" t="str">
        <f>IFERROR(__xludf.DUMMYFUNCTION("""COMPUTED_VALUE"""),"Vor mehr als 30 Tagen")</f>
        <v>Vor mehr als 30 Tagen</v>
      </c>
      <c r="C151" s="7" t="str">
        <f>IFERROR(__xludf.DUMMYFUNCTION("""COMPUTED_VALUE"""),"Business Intelligence Developer/Data Warehouse (m/w/d)")</f>
        <v>Business Intelligence Developer/Data Warehouse (m/w/d)</v>
      </c>
      <c r="D151" s="7" t="str">
        <f>IFERROR(__xludf.DUMMYFUNCTION("""COMPUTED_VALUE"""),"Nürnberg")</f>
        <v>Nürnberg</v>
      </c>
      <c r="E151" s="7" t="str">
        <f>IFERROR(__xludf.DUMMYFUNCTION("""COMPUTED_VALUE"""),"immowelt")</f>
        <v>immowelt</v>
      </c>
      <c r="F151" s="7" t="str">
        <f>IFERROR(__xludf.DUMMYFUNCTION("""COMPUTED_VALUE"""),"None")</f>
        <v>None</v>
      </c>
      <c r="G151" s="7" t="str">
        <f>IFERROR(__xludf.DUMMYFUNCTION("""COMPUTED_VALUE"""),"No salary data")</f>
        <v>No salary data</v>
      </c>
      <c r="H151" s="7" t="str">
        <f>IFERROR(__xludf.DUMMYFUNCTION("""COMPUTED_VALUE"""),"No salary data")</f>
        <v>No salary data</v>
      </c>
      <c r="I151" s="7" t="str">
        <f>IFERROR(__xludf.DUMMYFUNCTION("""COMPUTED_VALUE"""),"No salary data")</f>
        <v>No salary data</v>
      </c>
      <c r="J151" s="7" t="str">
        <f>IFERROR(__xludf.DUMMYFUNCTION("""COMPUTED_VALUE"""),"Python, SQL")</f>
        <v>Python, SQL</v>
      </c>
      <c r="K151" s="7" t="str">
        <f>IFERROR(__xludf.DUMMYFUNCTION("""COMPUTED_VALUE"""),"No job type data")</f>
        <v>No job type data</v>
      </c>
      <c r="L151" s="7" t="str">
        <f>IFERROR(__xludf.DUMMYFUNCTION("""COMPUTED_VALUE"""),"None")</f>
        <v>None</v>
      </c>
      <c r="M151" s="7"/>
      <c r="N151" s="7"/>
      <c r="O151" s="7"/>
    </row>
    <row r="152">
      <c r="A152" s="29">
        <f>IFERROR(__xludf.DUMMYFUNCTION("""COMPUTED_VALUE"""),148.0)</f>
        <v>148</v>
      </c>
      <c r="B152" s="7" t="str">
        <f>IFERROR(__xludf.DUMMYFUNCTION("""COMPUTED_VALUE"""),"Vor mehr als 30 Tagen")</f>
        <v>Vor mehr als 30 Tagen</v>
      </c>
      <c r="C152" s="7" t="str">
        <f>IFERROR(__xludf.DUMMYFUNCTION("""COMPUTED_VALUE"""),"Business Intelligence- /Data Warehouse-Entwickler (w/m/d)")</f>
        <v>Business Intelligence- /Data Warehouse-Entwickler (w/m/d)</v>
      </c>
      <c r="D152" s="7" t="str">
        <f>IFERROR(__xludf.DUMMYFUNCTION("""COMPUTED_VALUE"""),"Saarbrücken")</f>
        <v>Saarbrücken</v>
      </c>
      <c r="E152" s="7" t="str">
        <f>IFERROR(__xludf.DUMMYFUNCTION("""COMPUTED_VALUE"""),"Möbel Martin GmbH &amp; Co. KG")</f>
        <v>Möbel Martin GmbH &amp; Co. KG</v>
      </c>
      <c r="F152" s="7" t="str">
        <f>IFERROR(__xludf.DUMMYFUNCTION("""COMPUTED_VALUE"""),"None")</f>
        <v>None</v>
      </c>
      <c r="G152" s="7" t="str">
        <f>IFERROR(__xludf.DUMMYFUNCTION("""COMPUTED_VALUE"""),"No salary data")</f>
        <v>No salary data</v>
      </c>
      <c r="H152" s="7" t="str">
        <f>IFERROR(__xludf.DUMMYFUNCTION("""COMPUTED_VALUE"""),"No salary data")</f>
        <v>No salary data</v>
      </c>
      <c r="I152" s="7" t="str">
        <f>IFERROR(__xludf.DUMMYFUNCTION("""COMPUTED_VALUE"""),"No salary data")</f>
        <v>No salary data</v>
      </c>
      <c r="J152" s="7" t="str">
        <f>IFERROR(__xludf.DUMMYFUNCTION("""COMPUTED_VALUE"""),"SQL")</f>
        <v>SQL</v>
      </c>
      <c r="K152" s="7" t="str">
        <f>IFERROR(__xludf.DUMMYFUNCTION("""COMPUTED_VALUE"""),"No job type data")</f>
        <v>No job type data</v>
      </c>
      <c r="L152" s="7" t="str">
        <f>IFERROR(__xludf.DUMMYFUNCTION("""COMPUTED_VALUE"""),"2,8")</f>
        <v>2,8</v>
      </c>
      <c r="M152" s="7"/>
      <c r="N152" s="7"/>
      <c r="O152" s="7"/>
    </row>
    <row r="153">
      <c r="A153" s="29">
        <f>IFERROR(__xludf.DUMMYFUNCTION("""COMPUTED_VALUE"""),149.0)</f>
        <v>149</v>
      </c>
      <c r="B153" s="7" t="str">
        <f>IFERROR(__xludf.DUMMYFUNCTION("""COMPUTED_VALUE"""),"vor 9 Tagen")</f>
        <v>vor 9 Tagen</v>
      </c>
      <c r="C153" s="7" t="str">
        <f>IFERROR(__xludf.DUMMYFUNCTION("""COMPUTED_VALUE"""),"Data Engineer (m/w/d)")</f>
        <v>Data Engineer (m/w/d)</v>
      </c>
      <c r="D153" s="7" t="str">
        <f>IFERROR(__xludf.DUMMYFUNCTION("""COMPUTED_VALUE"""),"Düsseldorf")</f>
        <v>Düsseldorf</v>
      </c>
      <c r="E153" s="7" t="str">
        <f>IFERROR(__xludf.DUMMYFUNCTION("""COMPUTED_VALUE"""),"Just Spices GmbH")</f>
        <v>Just Spices GmbH</v>
      </c>
      <c r="F153" s="7" t="str">
        <f>IFERROR(__xludf.DUMMYFUNCTION("""COMPUTED_VALUE"""),"None")</f>
        <v>None</v>
      </c>
      <c r="G153" s="7" t="str">
        <f>IFERROR(__xludf.DUMMYFUNCTION("""COMPUTED_VALUE"""),"No salary data")</f>
        <v>No salary data</v>
      </c>
      <c r="H153" s="7" t="str">
        <f>IFERROR(__xludf.DUMMYFUNCTION("""COMPUTED_VALUE"""),"No salary data")</f>
        <v>No salary data</v>
      </c>
      <c r="I153" s="7" t="str">
        <f>IFERROR(__xludf.DUMMYFUNCTION("""COMPUTED_VALUE"""),"No salary data")</f>
        <v>No salary data</v>
      </c>
      <c r="J153" s="7" t="str">
        <f>IFERROR(__xludf.DUMMYFUNCTION("""COMPUTED_VALUE"""),"Python, SQL, Agile")</f>
        <v>Python, SQL, Agile</v>
      </c>
      <c r="K153" s="7" t="str">
        <f>IFERROR(__xludf.DUMMYFUNCTION("""COMPUTED_VALUE"""),"No job type data")</f>
        <v>No job type data</v>
      </c>
      <c r="L153" s="7" t="str">
        <f>IFERROR(__xludf.DUMMYFUNCTION("""COMPUTED_VALUE"""),"None")</f>
        <v>None</v>
      </c>
      <c r="M153" s="7"/>
      <c r="N153" s="7"/>
      <c r="O153" s="7"/>
    </row>
    <row r="154">
      <c r="A154" s="29">
        <f>IFERROR(__xludf.DUMMYFUNCTION("""COMPUTED_VALUE"""),150.0)</f>
        <v>150</v>
      </c>
      <c r="B154" s="7" t="str">
        <f>IFERROR(__xludf.DUMMYFUNCTION("""COMPUTED_VALUE"""),"Gerade geschaltet")</f>
        <v>Gerade geschaltet</v>
      </c>
      <c r="C154" s="7" t="str">
        <f>IFERROR(__xludf.DUMMYFUNCTION("""COMPUTED_VALUE"""),"Praktikum: Cost of Non Quality Data analyst &amp; programming (m...")</f>
        <v>Praktikum: Cost of Non Quality Data analyst &amp; programming (m...</v>
      </c>
      <c r="D154" s="7" t="str">
        <f>IFERROR(__xludf.DUMMYFUNCTION("""COMPUTED_VALUE"""),"Donauwörth")</f>
        <v>Donauwörth</v>
      </c>
      <c r="E154" s="7" t="str">
        <f>IFERROR(__xludf.DUMMYFUNCTION("""COMPUTED_VALUE"""),"Airbus")</f>
        <v>Airbus</v>
      </c>
      <c r="F154" s="7" t="str">
        <f>IFERROR(__xludf.DUMMYFUNCTION("""COMPUTED_VALUE"""),"None")</f>
        <v>None</v>
      </c>
      <c r="G154" s="7" t="str">
        <f>IFERROR(__xludf.DUMMYFUNCTION("""COMPUTED_VALUE"""),"No salary data")</f>
        <v>No salary data</v>
      </c>
      <c r="H154" s="7" t="str">
        <f>IFERROR(__xludf.DUMMYFUNCTION("""COMPUTED_VALUE"""),"No salary data")</f>
        <v>No salary data</v>
      </c>
      <c r="I154" s="7" t="str">
        <f>IFERROR(__xludf.DUMMYFUNCTION("""COMPUTED_VALUE"""),"No salary data")</f>
        <v>No salary data</v>
      </c>
      <c r="J154" s="7" t="str">
        <f>IFERROR(__xludf.DUMMYFUNCTION("""COMPUTED_VALUE"""),"Excel, Statistic")</f>
        <v>Excel, Statistic</v>
      </c>
      <c r="K154" s="7" t="str">
        <f>IFERROR(__xludf.DUMMYFUNCTION("""COMPUTED_VALUE"""),"Internship")</f>
        <v>Internship</v>
      </c>
      <c r="L154" s="7" t="str">
        <f>IFERROR(__xludf.DUMMYFUNCTION("""COMPUTED_VALUE"""),"4,2")</f>
        <v>4,2</v>
      </c>
      <c r="M154" s="7"/>
      <c r="N154" s="7"/>
      <c r="O154" s="7"/>
    </row>
    <row r="155">
      <c r="A155" s="29">
        <f>IFERROR(__xludf.DUMMYFUNCTION("""COMPUTED_VALUE"""),151.0)</f>
        <v>151</v>
      </c>
      <c r="B155" s="7" t="str">
        <f>IFERROR(__xludf.DUMMYFUNCTION("""COMPUTED_VALUE"""),"Vor mehr als 30 Tagen")</f>
        <v>Vor mehr als 30 Tagen</v>
      </c>
      <c r="C155" s="7" t="str">
        <f>IFERROR(__xludf.DUMMYFUNCTION("""COMPUTED_VALUE"""),"Business Intelligence (BI) / Data Analyst (m/w/d)")</f>
        <v>Business Intelligence (BI) / Data Analyst (m/w/d)</v>
      </c>
      <c r="D155" s="7" t="str">
        <f>IFERROR(__xludf.DUMMYFUNCTION("""COMPUTED_VALUE"""),"Borken")</f>
        <v>Borken</v>
      </c>
      <c r="E155" s="7" t="str">
        <f>IFERROR(__xludf.DUMMYFUNCTION("""COMPUTED_VALUE"""),"netgo GmbH")</f>
        <v>netgo GmbH</v>
      </c>
      <c r="F155" s="7" t="str">
        <f>IFERROR(__xludf.DUMMYFUNCTION("""COMPUTED_VALUE"""),"None")</f>
        <v>None</v>
      </c>
      <c r="G155" s="7" t="str">
        <f>IFERROR(__xludf.DUMMYFUNCTION("""COMPUTED_VALUE"""),"No salary data")</f>
        <v>No salary data</v>
      </c>
      <c r="H155" s="7" t="str">
        <f>IFERROR(__xludf.DUMMYFUNCTION("""COMPUTED_VALUE"""),"No salary data")</f>
        <v>No salary data</v>
      </c>
      <c r="I155" s="7" t="str">
        <f>IFERROR(__xludf.DUMMYFUNCTION("""COMPUTED_VALUE"""),"No salary data")</f>
        <v>No salary data</v>
      </c>
      <c r="J155" s="7" t="str">
        <f>IFERROR(__xludf.DUMMYFUNCTION("""COMPUTED_VALUE"""),"Python, SQL, Agile")</f>
        <v>Python, SQL, Agile</v>
      </c>
      <c r="K155" s="7" t="str">
        <f>IFERROR(__xludf.DUMMYFUNCTION("""COMPUTED_VALUE"""),"No job type data")</f>
        <v>No job type data</v>
      </c>
      <c r="L155" s="7" t="str">
        <f>IFERROR(__xludf.DUMMYFUNCTION("""COMPUTED_VALUE"""),"4,8")</f>
        <v>4,8</v>
      </c>
      <c r="M155" s="7"/>
      <c r="N155" s="7"/>
      <c r="O155" s="7"/>
    </row>
    <row r="156">
      <c r="A156" s="29">
        <f>IFERROR(__xludf.DUMMYFUNCTION("""COMPUTED_VALUE"""),152.0)</f>
        <v>152</v>
      </c>
      <c r="B156" s="7" t="str">
        <f>IFERROR(__xludf.DUMMYFUNCTION("""COMPUTED_VALUE"""),"vor 1 Tag")</f>
        <v>vor 1 Tag</v>
      </c>
      <c r="C156" s="7" t="str">
        <f>IFERROR(__xludf.DUMMYFUNCTION("""COMPUTED_VALUE"""),"Data Warehouse Development - Frankfurt (m/w/d)")</f>
        <v>Data Warehouse Development - Frankfurt (m/w/d)</v>
      </c>
      <c r="D156" s="7" t="str">
        <f>IFERROR(__xludf.DUMMYFUNCTION("""COMPUTED_VALUE"""),"Frankfurt am Main")</f>
        <v>Frankfurt am Main</v>
      </c>
      <c r="E156" s="7" t="str">
        <f>IFERROR(__xludf.DUMMYFUNCTION("""COMPUTED_VALUE"""),"Business Consulting House GmbH &amp; Co. KG")</f>
        <v>Business Consulting House GmbH &amp; Co. KG</v>
      </c>
      <c r="F156" s="7" t="str">
        <f>IFERROR(__xludf.DUMMYFUNCTION("""COMPUTED_VALUE"""),"None")</f>
        <v>None</v>
      </c>
      <c r="G156" s="7" t="str">
        <f>IFERROR(__xludf.DUMMYFUNCTION("""COMPUTED_VALUE"""),"No salary data")</f>
        <v>No salary data</v>
      </c>
      <c r="H156" s="7" t="str">
        <f>IFERROR(__xludf.DUMMYFUNCTION("""COMPUTED_VALUE"""),"No salary data")</f>
        <v>No salary data</v>
      </c>
      <c r="I156" s="7" t="str">
        <f>IFERROR(__xludf.DUMMYFUNCTION("""COMPUTED_VALUE"""),"No salary data")</f>
        <v>No salary data</v>
      </c>
      <c r="J156" s="7" t="str">
        <f>IFERROR(__xludf.DUMMYFUNCTION("""COMPUTED_VALUE"""),"SQL")</f>
        <v>SQL</v>
      </c>
      <c r="K156" s="7" t="str">
        <f>IFERROR(__xludf.DUMMYFUNCTION("""COMPUTED_VALUE"""),"No job type data")</f>
        <v>No job type data</v>
      </c>
      <c r="L156" s="7" t="str">
        <f>IFERROR(__xludf.DUMMYFUNCTION("""COMPUTED_VALUE"""),"None")</f>
        <v>None</v>
      </c>
      <c r="M156" s="7"/>
      <c r="N156" s="7"/>
      <c r="O156" s="7"/>
    </row>
    <row r="157">
      <c r="A157" s="29">
        <f>IFERROR(__xludf.DUMMYFUNCTION("""COMPUTED_VALUE"""),153.0)</f>
        <v>153</v>
      </c>
      <c r="B157" s="7" t="str">
        <f>IFERROR(__xludf.DUMMYFUNCTION("""COMPUTED_VALUE"""),"Vor mehr als 30 Tagen")</f>
        <v>Vor mehr als 30 Tagen</v>
      </c>
      <c r="C157" s="7" t="str">
        <f>IFERROR(__xludf.DUMMYFUNCTION("""COMPUTED_VALUE"""),"Business Intelligence Developer")</f>
        <v>Business Intelligence Developer</v>
      </c>
      <c r="D157" s="7" t="str">
        <f>IFERROR(__xludf.DUMMYFUNCTION("""COMPUTED_VALUE"""),"Berlin")</f>
        <v>Berlin</v>
      </c>
      <c r="E157" s="7" t="str">
        <f>IFERROR(__xludf.DUMMYFUNCTION("""COMPUTED_VALUE"""),"Trade Republic Bank GmbH")</f>
        <v>Trade Republic Bank GmbH</v>
      </c>
      <c r="F157" s="7" t="str">
        <f>IFERROR(__xludf.DUMMYFUNCTION("""COMPUTED_VALUE"""),"None")</f>
        <v>None</v>
      </c>
      <c r="G157" s="7" t="str">
        <f>IFERROR(__xludf.DUMMYFUNCTION("""COMPUTED_VALUE"""),"No salary data")</f>
        <v>No salary data</v>
      </c>
      <c r="H157" s="7" t="str">
        <f>IFERROR(__xludf.DUMMYFUNCTION("""COMPUTED_VALUE"""),"No salary data")</f>
        <v>No salary data</v>
      </c>
      <c r="I157" s="7" t="str">
        <f>IFERROR(__xludf.DUMMYFUNCTION("""COMPUTED_VALUE"""),"No salary data")</f>
        <v>No salary data</v>
      </c>
      <c r="J157" s="7" t="str">
        <f>IFERROR(__xludf.DUMMYFUNCTION("""COMPUTED_VALUE"""),"Python, SQL, Tableau")</f>
        <v>Python, SQL, Tableau</v>
      </c>
      <c r="K157" s="7" t="str">
        <f>IFERROR(__xludf.DUMMYFUNCTION("""COMPUTED_VALUE"""),"No job type data")</f>
        <v>No job type data</v>
      </c>
      <c r="L157" s="7" t="str">
        <f>IFERROR(__xludf.DUMMYFUNCTION("""COMPUTED_VALUE"""),"None")</f>
        <v>None</v>
      </c>
      <c r="M157" s="7"/>
      <c r="N157" s="7"/>
      <c r="O157" s="7"/>
    </row>
    <row r="158">
      <c r="A158" s="29">
        <f>IFERROR(__xludf.DUMMYFUNCTION("""COMPUTED_VALUE"""),154.0)</f>
        <v>154</v>
      </c>
      <c r="B158" s="7" t="str">
        <f>IFERROR(__xludf.DUMMYFUNCTION("""COMPUTED_VALUE"""),"Vor mehr als 30 Tagen")</f>
        <v>Vor mehr als 30 Tagen</v>
      </c>
      <c r="C158" s="7" t="str">
        <f>IFERROR(__xludf.DUMMYFUNCTION("""COMPUTED_VALUE"""),"DWH-BI ETL &amp; Big Data Architect (*)")</f>
        <v>DWH-BI ETL &amp; Big Data Architect (*)</v>
      </c>
      <c r="D158" s="7" t="str">
        <f>IFERROR(__xludf.DUMMYFUNCTION("""COMPUTED_VALUE"""),"Essen")</f>
        <v>Essen</v>
      </c>
      <c r="E158" s="7" t="str">
        <f>IFERROR(__xludf.DUMMYFUNCTION("""COMPUTED_VALUE"""),"Schenker AG Head Office")</f>
        <v>Schenker AG Head Office</v>
      </c>
      <c r="F158" s="7" t="str">
        <f>IFERROR(__xludf.DUMMYFUNCTION("""COMPUTED_VALUE"""),"None")</f>
        <v>None</v>
      </c>
      <c r="G158" s="7" t="str">
        <f>IFERROR(__xludf.DUMMYFUNCTION("""COMPUTED_VALUE"""),"No salary data")</f>
        <v>No salary data</v>
      </c>
      <c r="H158" s="7" t="str">
        <f>IFERROR(__xludf.DUMMYFUNCTION("""COMPUTED_VALUE"""),"No salary data")</f>
        <v>No salary data</v>
      </c>
      <c r="I158" s="7" t="str">
        <f>IFERROR(__xludf.DUMMYFUNCTION("""COMPUTED_VALUE"""),"No salary data")</f>
        <v>No salary data</v>
      </c>
      <c r="J158" s="7" t="str">
        <f>IFERROR(__xludf.DUMMYFUNCTION("""COMPUTED_VALUE"""),"SQL, Agile, Scrum, Kanban")</f>
        <v>SQL, Agile, Scrum, Kanban</v>
      </c>
      <c r="K158" s="7" t="str">
        <f>IFERROR(__xludf.DUMMYFUNCTION("""COMPUTED_VALUE"""),"No job type data")</f>
        <v>No job type data</v>
      </c>
      <c r="L158" s="7" t="str">
        <f>IFERROR(__xludf.DUMMYFUNCTION("""COMPUTED_VALUE"""),"None")</f>
        <v>None</v>
      </c>
      <c r="M158" s="7"/>
      <c r="N158" s="7"/>
      <c r="O158" s="7"/>
    </row>
    <row r="159">
      <c r="A159" s="29">
        <f>IFERROR(__xludf.DUMMYFUNCTION("""COMPUTED_VALUE"""),155.0)</f>
        <v>155</v>
      </c>
      <c r="B159" s="7" t="str">
        <f>IFERROR(__xludf.DUMMYFUNCTION("""COMPUTED_VALUE"""),"vor 1 Tag")</f>
        <v>vor 1 Tag</v>
      </c>
      <c r="C159" s="7" t="str">
        <f>IFERROR(__xludf.DUMMYFUNCTION("""COMPUTED_VALUE"""),"Data Engineer")</f>
        <v>Data Engineer</v>
      </c>
      <c r="D159" s="7" t="str">
        <f>IFERROR(__xludf.DUMMYFUNCTION("""COMPUTED_VALUE"""),"Berlin")</f>
        <v>Berlin</v>
      </c>
      <c r="E159" s="7" t="str">
        <f>IFERROR(__xludf.DUMMYFUNCTION("""COMPUTED_VALUE"""),"Applift")</f>
        <v>Applift</v>
      </c>
      <c r="F159" s="7" t="str">
        <f>IFERROR(__xludf.DUMMYFUNCTION("""COMPUTED_VALUE"""),"None")</f>
        <v>None</v>
      </c>
      <c r="G159" s="7" t="str">
        <f>IFERROR(__xludf.DUMMYFUNCTION("""COMPUTED_VALUE"""),"No salary data")</f>
        <v>No salary data</v>
      </c>
      <c r="H159" s="7" t="str">
        <f>IFERROR(__xludf.DUMMYFUNCTION("""COMPUTED_VALUE"""),"No salary data")</f>
        <v>No salary data</v>
      </c>
      <c r="I159" s="7" t="str">
        <f>IFERROR(__xludf.DUMMYFUNCTION("""COMPUTED_VALUE"""),"No salary data")</f>
        <v>No salary data</v>
      </c>
      <c r="J159" s="7" t="str">
        <f>IFERROR(__xludf.DUMMYFUNCTION("""COMPUTED_VALUE"""),"Git")</f>
        <v>Git</v>
      </c>
      <c r="K159" s="7" t="str">
        <f>IFERROR(__xludf.DUMMYFUNCTION("""COMPUTED_VALUE"""),"No job type data")</f>
        <v>No job type data</v>
      </c>
      <c r="L159" s="7" t="str">
        <f>IFERROR(__xludf.DUMMYFUNCTION("""COMPUTED_VALUE"""),"None")</f>
        <v>None</v>
      </c>
      <c r="M159" s="7"/>
      <c r="N159" s="7"/>
      <c r="O159" s="7"/>
    </row>
    <row r="160">
      <c r="A160" s="29">
        <f>IFERROR(__xludf.DUMMYFUNCTION("""COMPUTED_VALUE"""),156.0)</f>
        <v>156</v>
      </c>
      <c r="B160" s="7" t="str">
        <f>IFERROR(__xludf.DUMMYFUNCTION("""COMPUTED_VALUE"""),"Vor mehr als 30 Tagen")</f>
        <v>Vor mehr als 30 Tagen</v>
      </c>
      <c r="C160" s="7" t="str">
        <f>IFERROR(__xludf.DUMMYFUNCTION("""COMPUTED_VALUE"""),"Data Analyst (m/f/d*)")</f>
        <v>Data Analyst (m/f/d*)</v>
      </c>
      <c r="D160" s="7" t="str">
        <f>IFERROR(__xludf.DUMMYFUNCTION("""COMPUTED_VALUE"""),"Berlin")</f>
        <v>Berlin</v>
      </c>
      <c r="E160" s="7" t="str">
        <f>IFERROR(__xludf.DUMMYFUNCTION("""COMPUTED_VALUE"""),"PlusDental")</f>
        <v>PlusDental</v>
      </c>
      <c r="F160" s="7" t="str">
        <f>IFERROR(__xludf.DUMMYFUNCTION("""COMPUTED_VALUE"""),"None")</f>
        <v>None</v>
      </c>
      <c r="G160" s="7" t="str">
        <f>IFERROR(__xludf.DUMMYFUNCTION("""COMPUTED_VALUE"""),"No salary data")</f>
        <v>No salary data</v>
      </c>
      <c r="H160" s="7" t="str">
        <f>IFERROR(__xludf.DUMMYFUNCTION("""COMPUTED_VALUE"""),"No salary data")</f>
        <v>No salary data</v>
      </c>
      <c r="I160" s="7" t="str">
        <f>IFERROR(__xludf.DUMMYFUNCTION("""COMPUTED_VALUE"""),"No salary data")</f>
        <v>No salary data</v>
      </c>
      <c r="J160" s="7" t="str">
        <f>IFERROR(__xludf.DUMMYFUNCTION("""COMPUTED_VALUE"""),"Python, SQL, Git")</f>
        <v>Python, SQL, Git</v>
      </c>
      <c r="K160" s="7" t="str">
        <f>IFERROR(__xludf.DUMMYFUNCTION("""COMPUTED_VALUE"""),"No job type data")</f>
        <v>No job type data</v>
      </c>
      <c r="L160" s="7" t="str">
        <f>IFERROR(__xludf.DUMMYFUNCTION("""COMPUTED_VALUE"""),"3,0")</f>
        <v>3,0</v>
      </c>
      <c r="M160" s="7"/>
      <c r="N160" s="7"/>
      <c r="O160" s="7"/>
    </row>
    <row r="161">
      <c r="A161" s="29">
        <f>IFERROR(__xludf.DUMMYFUNCTION("""COMPUTED_VALUE"""),157.0)</f>
        <v>157</v>
      </c>
      <c r="B161" s="7" t="str">
        <f>IFERROR(__xludf.DUMMYFUNCTION("""COMPUTED_VALUE"""),"vor 5 Tagen")</f>
        <v>vor 5 Tagen</v>
      </c>
      <c r="C161" s="7" t="str">
        <f>IFERROR(__xludf.DUMMYFUNCTION("""COMPUTED_VALUE"""),"Junior Data Analytics Manager (m/w/d)")</f>
        <v>Junior Data Analytics Manager (m/w/d)</v>
      </c>
      <c r="D161" s="7" t="str">
        <f>IFERROR(__xludf.DUMMYFUNCTION("""COMPUTED_VALUE"""),"Frankfurt am Main")</f>
        <v>Frankfurt am Main</v>
      </c>
      <c r="E161" s="7" t="str">
        <f>IFERROR(__xludf.DUMMYFUNCTION("""COMPUTED_VALUE"""),"Da Vinci Engineering GmbH")</f>
        <v>Da Vinci Engineering GmbH</v>
      </c>
      <c r="F161" s="7" t="str">
        <f>IFERROR(__xludf.DUMMYFUNCTION("""COMPUTED_VALUE"""),"None")</f>
        <v>None</v>
      </c>
      <c r="G161" s="7" t="str">
        <f>IFERROR(__xludf.DUMMYFUNCTION("""COMPUTED_VALUE"""),"No salary data")</f>
        <v>No salary data</v>
      </c>
      <c r="H161" s="7" t="str">
        <f>IFERROR(__xludf.DUMMYFUNCTION("""COMPUTED_VALUE"""),"No salary data")</f>
        <v>No salary data</v>
      </c>
      <c r="I161" s="7" t="str">
        <f>IFERROR(__xludf.DUMMYFUNCTION("""COMPUTED_VALUE"""),"No salary data")</f>
        <v>No salary data</v>
      </c>
      <c r="J161" s="7" t="str">
        <f>IFERROR(__xludf.DUMMYFUNCTION("""COMPUTED_VALUE"""),"Python, Linux")</f>
        <v>Python, Linux</v>
      </c>
      <c r="K161" s="7" t="str">
        <f>IFERROR(__xludf.DUMMYFUNCTION("""COMPUTED_VALUE"""),"No job type data")</f>
        <v>No job type data</v>
      </c>
      <c r="L161" s="7" t="str">
        <f>IFERROR(__xludf.DUMMYFUNCTION("""COMPUTED_VALUE"""),"4,0")</f>
        <v>4,0</v>
      </c>
      <c r="M161" s="7"/>
      <c r="N161" s="7"/>
      <c r="O161" s="7"/>
    </row>
    <row r="162">
      <c r="A162" s="29">
        <f>IFERROR(__xludf.DUMMYFUNCTION("""COMPUTED_VALUE"""),158.0)</f>
        <v>158</v>
      </c>
      <c r="B162" s="7" t="str">
        <f>IFERROR(__xludf.DUMMYFUNCTION("""COMPUTED_VALUE"""),"Vor mehr als 30 Tagen")</f>
        <v>Vor mehr als 30 Tagen</v>
      </c>
      <c r="C162" s="7" t="str">
        <f>IFERROR(__xludf.DUMMYFUNCTION("""COMPUTED_VALUE"""),"Efiport GmbH: Data Engineer (all genders)")</f>
        <v>Efiport GmbH: Data Engineer (all genders)</v>
      </c>
      <c r="D162" s="7" t="str">
        <f>IFERROR(__xludf.DUMMYFUNCTION("""COMPUTED_VALUE"""),"Frankfurt am Main")</f>
        <v>Frankfurt am Main</v>
      </c>
      <c r="E162" s="7" t="str">
        <f>IFERROR(__xludf.DUMMYFUNCTION("""COMPUTED_VALUE"""),"Frankfurt School of Finance &amp; Management")</f>
        <v>Frankfurt School of Finance &amp; Management</v>
      </c>
      <c r="F162" s="7" t="str">
        <f>IFERROR(__xludf.DUMMYFUNCTION("""COMPUTED_VALUE"""),"None")</f>
        <v>None</v>
      </c>
      <c r="G162" s="7" t="str">
        <f>IFERROR(__xludf.DUMMYFUNCTION("""COMPUTED_VALUE"""),"No salary data")</f>
        <v>No salary data</v>
      </c>
      <c r="H162" s="7" t="str">
        <f>IFERROR(__xludf.DUMMYFUNCTION("""COMPUTED_VALUE"""),"No salary data")</f>
        <v>No salary data</v>
      </c>
      <c r="I162" s="7" t="str">
        <f>IFERROR(__xludf.DUMMYFUNCTION("""COMPUTED_VALUE"""),"No salary data")</f>
        <v>No salary data</v>
      </c>
      <c r="J162" s="7" t="str">
        <f>IFERROR(__xludf.DUMMYFUNCTION("""COMPUTED_VALUE"""),"Python, SQL, Excel")</f>
        <v>Python, SQL, Excel</v>
      </c>
      <c r="K162" s="7" t="str">
        <f>IFERROR(__xludf.DUMMYFUNCTION("""COMPUTED_VALUE"""),"No job type data")</f>
        <v>No job type data</v>
      </c>
      <c r="L162" s="7" t="str">
        <f>IFERROR(__xludf.DUMMYFUNCTION("""COMPUTED_VALUE"""),"None")</f>
        <v>None</v>
      </c>
      <c r="M162" s="7"/>
      <c r="N162" s="7"/>
      <c r="O162" s="7"/>
    </row>
    <row r="163">
      <c r="A163" s="29">
        <f>IFERROR(__xludf.DUMMYFUNCTION("""COMPUTED_VALUE"""),159.0)</f>
        <v>159</v>
      </c>
      <c r="B163" s="7" t="str">
        <f>IFERROR(__xludf.DUMMYFUNCTION("""COMPUTED_VALUE"""),"vor 18 Tagen")</f>
        <v>vor 18 Tagen</v>
      </c>
      <c r="C163" s="7" t="str">
        <f>IFERROR(__xludf.DUMMYFUNCTION("""COMPUTED_VALUE"""),"Business Intelligence Analyst - Global BI (m,f,x)")</f>
        <v>Business Intelligence Analyst - Global BI (m,f,x)</v>
      </c>
      <c r="D163" s="7" t="str">
        <f>IFERROR(__xludf.DUMMYFUNCTION("""COMPUTED_VALUE"""),"Berlin")</f>
        <v>Berlin</v>
      </c>
      <c r="E163" s="7" t="str">
        <f>IFERROR(__xludf.DUMMYFUNCTION("""COMPUTED_VALUE"""),"HelloFresh")</f>
        <v>HelloFresh</v>
      </c>
      <c r="F163" s="7" t="str">
        <f>IFERROR(__xludf.DUMMYFUNCTION("""COMPUTED_VALUE"""),"None")</f>
        <v>None</v>
      </c>
      <c r="G163" s="7" t="str">
        <f>IFERROR(__xludf.DUMMYFUNCTION("""COMPUTED_VALUE"""),"No salary data")</f>
        <v>No salary data</v>
      </c>
      <c r="H163" s="7" t="str">
        <f>IFERROR(__xludf.DUMMYFUNCTION("""COMPUTED_VALUE"""),"No salary data")</f>
        <v>No salary data</v>
      </c>
      <c r="I163" s="7" t="str">
        <f>IFERROR(__xludf.DUMMYFUNCTION("""COMPUTED_VALUE"""),"No salary data")</f>
        <v>No salary data</v>
      </c>
      <c r="J163" s="7" t="str">
        <f>IFERROR(__xludf.DUMMYFUNCTION("""COMPUTED_VALUE"""),"Python, SQL, Tableau, Excel")</f>
        <v>Python, SQL, Tableau, Excel</v>
      </c>
      <c r="K163" s="7" t="str">
        <f>IFERROR(__xludf.DUMMYFUNCTION("""COMPUTED_VALUE"""),"No job type data")</f>
        <v>No job type data</v>
      </c>
      <c r="L163" s="7" t="str">
        <f>IFERROR(__xludf.DUMMYFUNCTION("""COMPUTED_VALUE"""),"3,2")</f>
        <v>3,2</v>
      </c>
      <c r="M163" s="7"/>
      <c r="N163" s="7"/>
      <c r="O163" s="7"/>
    </row>
    <row r="164">
      <c r="A164" s="29">
        <f>IFERROR(__xludf.DUMMYFUNCTION("""COMPUTED_VALUE"""),160.0)</f>
        <v>160</v>
      </c>
      <c r="B164" s="7" t="str">
        <f>IFERROR(__xludf.DUMMYFUNCTION("""COMPUTED_VALUE"""),"Vor mehr als 30 Tagen")</f>
        <v>Vor mehr als 30 Tagen</v>
      </c>
      <c r="C164" s="7" t="str">
        <f>IFERROR(__xludf.DUMMYFUNCTION("""COMPUTED_VALUE"""),"Data &amp; Analytics - Solution Architect - MTC")</f>
        <v>Data &amp; Analytics - Solution Architect - MTC</v>
      </c>
      <c r="D164" s="7" t="str">
        <f>IFERROR(__xludf.DUMMYFUNCTION("""COMPUTED_VALUE"""),"München")</f>
        <v>München</v>
      </c>
      <c r="E164" s="7" t="str">
        <f>IFERROR(__xludf.DUMMYFUNCTION("""COMPUTED_VALUE"""),"Microsoft")</f>
        <v>Microsoft</v>
      </c>
      <c r="F164" s="7" t="str">
        <f>IFERROR(__xludf.DUMMYFUNCTION("""COMPUTED_VALUE"""),"None")</f>
        <v>None</v>
      </c>
      <c r="G164" s="7" t="str">
        <f>IFERROR(__xludf.DUMMYFUNCTION("""COMPUTED_VALUE"""),"No salary data")</f>
        <v>No salary data</v>
      </c>
      <c r="H164" s="7" t="str">
        <f>IFERROR(__xludf.DUMMYFUNCTION("""COMPUTED_VALUE"""),"No salary data")</f>
        <v>No salary data</v>
      </c>
      <c r="I164" s="7" t="str">
        <f>IFERROR(__xludf.DUMMYFUNCTION("""COMPUTED_VALUE"""),"No salary data")</f>
        <v>No salary data</v>
      </c>
      <c r="J164" s="7" t="str">
        <f>IFERROR(__xludf.DUMMYFUNCTION("""COMPUTED_VALUE"""),"Python, SQL, Tableau, Machine Learning, Git")</f>
        <v>Python, SQL, Tableau, Machine Learning, Git</v>
      </c>
      <c r="K164" s="7" t="str">
        <f>IFERROR(__xludf.DUMMYFUNCTION("""COMPUTED_VALUE"""),"No job type data")</f>
        <v>No job type data</v>
      </c>
      <c r="L164" s="7" t="str">
        <f>IFERROR(__xludf.DUMMYFUNCTION("""COMPUTED_VALUE"""),"4,2")</f>
        <v>4,2</v>
      </c>
      <c r="M164" s="7"/>
      <c r="N164" s="7"/>
      <c r="O164" s="7"/>
    </row>
    <row r="165">
      <c r="A165" s="29">
        <f>IFERROR(__xludf.DUMMYFUNCTION("""COMPUTED_VALUE"""),161.0)</f>
        <v>161</v>
      </c>
      <c r="B165" s="7" t="str">
        <f>IFERROR(__xludf.DUMMYFUNCTION("""COMPUTED_VALUE"""),"Heute")</f>
        <v>Heute</v>
      </c>
      <c r="C165" s="7" t="str">
        <f>IFERROR(__xludf.DUMMYFUNCTION("""COMPUTED_VALUE"""),"Data Scientist - System und Logistikdaten (gn)")</f>
        <v>Data Scientist - System und Logistikdaten (gn)</v>
      </c>
      <c r="D165" s="7" t="str">
        <f>IFERROR(__xludf.DUMMYFUNCTION("""COMPUTED_VALUE"""),"Ottobrunn")</f>
        <v>Ottobrunn</v>
      </c>
      <c r="E165" s="7" t="str">
        <f>IFERROR(__xludf.DUMMYFUNCTION("""COMPUTED_VALUE"""),"IABG")</f>
        <v>IABG</v>
      </c>
      <c r="F165" s="7" t="str">
        <f>IFERROR(__xludf.DUMMYFUNCTION("""COMPUTED_VALUE"""),"None")</f>
        <v>None</v>
      </c>
      <c r="G165" s="7" t="str">
        <f>IFERROR(__xludf.DUMMYFUNCTION("""COMPUTED_VALUE"""),"No salary data")</f>
        <v>No salary data</v>
      </c>
      <c r="H165" s="7" t="str">
        <f>IFERROR(__xludf.DUMMYFUNCTION("""COMPUTED_VALUE"""),"No salary data")</f>
        <v>No salary data</v>
      </c>
      <c r="I165" s="7" t="str">
        <f>IFERROR(__xludf.DUMMYFUNCTION("""COMPUTED_VALUE"""),"No salary data")</f>
        <v>No salary data</v>
      </c>
      <c r="J165" s="7" t="str">
        <f>IFERROR(__xludf.DUMMYFUNCTION("""COMPUTED_VALUE"""),"Python, SQL, Tableau, Excel")</f>
        <v>Python, SQL, Tableau, Excel</v>
      </c>
      <c r="K165" s="7" t="str">
        <f>IFERROR(__xludf.DUMMYFUNCTION("""COMPUTED_VALUE"""),"No job type data")</f>
        <v>No job type data</v>
      </c>
      <c r="L165" s="7" t="str">
        <f>IFERROR(__xludf.DUMMYFUNCTION("""COMPUTED_VALUE"""),"None")</f>
        <v>None</v>
      </c>
      <c r="M165" s="7"/>
      <c r="N165" s="7"/>
      <c r="O165" s="7"/>
    </row>
    <row r="166">
      <c r="A166" s="29">
        <f>IFERROR(__xludf.DUMMYFUNCTION("""COMPUTED_VALUE"""),162.0)</f>
        <v>162</v>
      </c>
      <c r="B166" s="7" t="str">
        <f>IFERROR(__xludf.DUMMYFUNCTION("""COMPUTED_VALUE"""),"Vor mehr als 30 Tagen")</f>
        <v>Vor mehr als 30 Tagen</v>
      </c>
      <c r="C166" s="7" t="str">
        <f>IFERROR(__xludf.DUMMYFUNCTION("""COMPUTED_VALUE"""),"Data Analysis &amp; Data Engineering &amp; Data Science")</f>
        <v>Data Analysis &amp; Data Engineering &amp; Data Science</v>
      </c>
      <c r="D166" s="7" t="str">
        <f>IFERROR(__xludf.DUMMYFUNCTION("""COMPUTED_VALUE"""),"Köln")</f>
        <v>Köln</v>
      </c>
      <c r="E166" s="7" t="str">
        <f>IFERROR(__xludf.DUMMYFUNCTION("""COMPUTED_VALUE"""),"Qimia GmbH")</f>
        <v>Qimia GmbH</v>
      </c>
      <c r="F166" s="7" t="str">
        <f>IFERROR(__xludf.DUMMYFUNCTION("""COMPUTED_VALUE"""),"None")</f>
        <v>None</v>
      </c>
      <c r="G166" s="7" t="str">
        <f>IFERROR(__xludf.DUMMYFUNCTION("""COMPUTED_VALUE"""),"No salary data")</f>
        <v>No salary data</v>
      </c>
      <c r="H166" s="7" t="str">
        <f>IFERROR(__xludf.DUMMYFUNCTION("""COMPUTED_VALUE"""),"No salary data")</f>
        <v>No salary data</v>
      </c>
      <c r="I166" s="7" t="str">
        <f>IFERROR(__xludf.DUMMYFUNCTION("""COMPUTED_VALUE"""),"No salary data")</f>
        <v>No salary data</v>
      </c>
      <c r="J166" s="7" t="str">
        <f>IFERROR(__xludf.DUMMYFUNCTION("""COMPUTED_VALUE"""),"Python, SQL, Machine Learning, Deep Learning, Statistic")</f>
        <v>Python, SQL, Machine Learning, Deep Learning, Statistic</v>
      </c>
      <c r="K166" s="7" t="str">
        <f>IFERROR(__xludf.DUMMYFUNCTION("""COMPUTED_VALUE"""),"No job type data")</f>
        <v>No job type data</v>
      </c>
      <c r="L166" s="7" t="str">
        <f>IFERROR(__xludf.DUMMYFUNCTION("""COMPUTED_VALUE"""),"None")</f>
        <v>None</v>
      </c>
      <c r="M166" s="7"/>
      <c r="N166" s="7"/>
      <c r="O166" s="7"/>
    </row>
    <row r="167">
      <c r="A167" s="29">
        <f>IFERROR(__xludf.DUMMYFUNCTION("""COMPUTED_VALUE"""),163.0)</f>
        <v>163</v>
      </c>
      <c r="B167" s="7" t="str">
        <f>IFERROR(__xludf.DUMMYFUNCTION("""COMPUTED_VALUE"""),"vor 6 Tagen")</f>
        <v>vor 6 Tagen</v>
      </c>
      <c r="C167" s="7" t="str">
        <f>IFERROR(__xludf.DUMMYFUNCTION("""COMPUTED_VALUE"""),"Inhouse Consultant Business Intelligence (w/m/d)")</f>
        <v>Inhouse Consultant Business Intelligence (w/m/d)</v>
      </c>
      <c r="D167" s="7" t="str">
        <f>IFERROR(__xludf.DUMMYFUNCTION("""COMPUTED_VALUE"""),"Karlsruhe")</f>
        <v>Karlsruhe</v>
      </c>
      <c r="E167" s="7" t="str">
        <f>IFERROR(__xludf.DUMMYFUNCTION("""COMPUTED_VALUE"""),"dm-drogerie markt")</f>
        <v>dm-drogerie markt</v>
      </c>
      <c r="F167" s="7" t="str">
        <f>IFERROR(__xludf.DUMMYFUNCTION("""COMPUTED_VALUE"""),"None")</f>
        <v>None</v>
      </c>
      <c r="G167" s="7" t="str">
        <f>IFERROR(__xludf.DUMMYFUNCTION("""COMPUTED_VALUE"""),"No salary data")</f>
        <v>No salary data</v>
      </c>
      <c r="H167" s="7" t="str">
        <f>IFERROR(__xludf.DUMMYFUNCTION("""COMPUTED_VALUE"""),"No salary data")</f>
        <v>No salary data</v>
      </c>
      <c r="I167" s="7" t="str">
        <f>IFERROR(__xludf.DUMMYFUNCTION("""COMPUTED_VALUE"""),"No salary data")</f>
        <v>No salary data</v>
      </c>
      <c r="J167" s="7" t="str">
        <f>IFERROR(__xludf.DUMMYFUNCTION("""COMPUTED_VALUE"""),"SQL")</f>
        <v>SQL</v>
      </c>
      <c r="K167" s="7" t="str">
        <f>IFERROR(__xludf.DUMMYFUNCTION("""COMPUTED_VALUE"""),"No job type data")</f>
        <v>No job type data</v>
      </c>
      <c r="L167" s="7" t="str">
        <f>IFERROR(__xludf.DUMMYFUNCTION("""COMPUTED_VALUE"""),"3,7")</f>
        <v>3,7</v>
      </c>
      <c r="M167" s="7"/>
      <c r="N167" s="7"/>
      <c r="O167" s="7"/>
    </row>
    <row r="168">
      <c r="A168" s="29">
        <f>IFERROR(__xludf.DUMMYFUNCTION("""COMPUTED_VALUE"""),164.0)</f>
        <v>164</v>
      </c>
      <c r="B168" s="7" t="str">
        <f>IFERROR(__xludf.DUMMYFUNCTION("""COMPUTED_VALUE"""),"vor 6 Tagen")</f>
        <v>vor 6 Tagen</v>
      </c>
      <c r="C168" s="7" t="str">
        <f>IFERROR(__xludf.DUMMYFUNCTION("""COMPUTED_VALUE"""),"Data Engineer / ETL-Entwickler (m/w/d)")</f>
        <v>Data Engineer / ETL-Entwickler (m/w/d)</v>
      </c>
      <c r="D168" s="7" t="str">
        <f>IFERROR(__xludf.DUMMYFUNCTION("""COMPUTED_VALUE"""),"Köln")</f>
        <v>Köln</v>
      </c>
      <c r="E168" s="7" t="str">
        <f>IFERROR(__xludf.DUMMYFUNCTION("""COMPUTED_VALUE"""),"AXA Germany")</f>
        <v>AXA Germany</v>
      </c>
      <c r="F168" s="7" t="str">
        <f>IFERROR(__xludf.DUMMYFUNCTION("""COMPUTED_VALUE"""),"None")</f>
        <v>None</v>
      </c>
      <c r="G168" s="7" t="str">
        <f>IFERROR(__xludf.DUMMYFUNCTION("""COMPUTED_VALUE"""),"No salary data")</f>
        <v>No salary data</v>
      </c>
      <c r="H168" s="7" t="str">
        <f>IFERROR(__xludf.DUMMYFUNCTION("""COMPUTED_VALUE"""),"No salary data")</f>
        <v>No salary data</v>
      </c>
      <c r="I168" s="7" t="str">
        <f>IFERROR(__xludf.DUMMYFUNCTION("""COMPUTED_VALUE"""),"No salary data")</f>
        <v>No salary data</v>
      </c>
      <c r="J168" s="7" t="str">
        <f>IFERROR(__xludf.DUMMYFUNCTION("""COMPUTED_VALUE"""),"SQL, Agile")</f>
        <v>SQL, Agile</v>
      </c>
      <c r="K168" s="7" t="str">
        <f>IFERROR(__xludf.DUMMYFUNCTION("""COMPUTED_VALUE"""),"No job type data")</f>
        <v>No job type data</v>
      </c>
      <c r="L168" s="7" t="str">
        <f>IFERROR(__xludf.DUMMYFUNCTION("""COMPUTED_VALUE"""),"None")</f>
        <v>None</v>
      </c>
      <c r="M168" s="7"/>
      <c r="N168" s="7"/>
      <c r="O168" s="7"/>
    </row>
    <row r="169">
      <c r="A169" s="29">
        <f>IFERROR(__xludf.DUMMYFUNCTION("""COMPUTED_VALUE"""),165.0)</f>
        <v>165</v>
      </c>
      <c r="B169" s="7" t="str">
        <f>IFERROR(__xludf.DUMMYFUNCTION("""COMPUTED_VALUE"""),"vor 11 Tagen")</f>
        <v>vor 11 Tagen</v>
      </c>
      <c r="C169" s="7" t="str">
        <f>IFERROR(__xludf.DUMMYFUNCTION("""COMPUTED_VALUE"""),"Business Intelligence Developer (m/f/d)")</f>
        <v>Business Intelligence Developer (m/f/d)</v>
      </c>
      <c r="D169" s="7" t="str">
        <f>IFERROR(__xludf.DUMMYFUNCTION("""COMPUTED_VALUE"""),"Berlin-Friedrichshain")</f>
        <v>Berlin-Friedrichshain</v>
      </c>
      <c r="E169" s="7" t="str">
        <f>IFERROR(__xludf.DUMMYFUNCTION("""COMPUTED_VALUE"""),"DCMN")</f>
        <v>DCMN</v>
      </c>
      <c r="F169" s="7" t="str">
        <f>IFERROR(__xludf.DUMMYFUNCTION("""COMPUTED_VALUE"""),"None")</f>
        <v>None</v>
      </c>
      <c r="G169" s="7" t="str">
        <f>IFERROR(__xludf.DUMMYFUNCTION("""COMPUTED_VALUE"""),"No salary data")</f>
        <v>No salary data</v>
      </c>
      <c r="H169" s="7" t="str">
        <f>IFERROR(__xludf.DUMMYFUNCTION("""COMPUTED_VALUE"""),"No salary data")</f>
        <v>No salary data</v>
      </c>
      <c r="I169" s="7" t="str">
        <f>IFERROR(__xludf.DUMMYFUNCTION("""COMPUTED_VALUE"""),"No salary data")</f>
        <v>No salary data</v>
      </c>
      <c r="J169" s="7" t="str">
        <f>IFERROR(__xludf.DUMMYFUNCTION("""COMPUTED_VALUE"""),"SQL, Tableau, Git, Linux")</f>
        <v>SQL, Tableau, Git, Linux</v>
      </c>
      <c r="K169" s="7" t="str">
        <f>IFERROR(__xludf.DUMMYFUNCTION("""COMPUTED_VALUE"""),"No job type data")</f>
        <v>No job type data</v>
      </c>
      <c r="L169" s="7" t="str">
        <f>IFERROR(__xludf.DUMMYFUNCTION("""COMPUTED_VALUE"""),"None")</f>
        <v>None</v>
      </c>
      <c r="M169" s="7"/>
      <c r="N169" s="7"/>
      <c r="O169" s="7"/>
    </row>
    <row r="170">
      <c r="A170" s="29">
        <f>IFERROR(__xludf.DUMMYFUNCTION("""COMPUTED_VALUE"""),166.0)</f>
        <v>166</v>
      </c>
      <c r="B170" s="7" t="str">
        <f>IFERROR(__xludf.DUMMYFUNCTION("""COMPUTED_VALUE"""),"Vor mehr als 30 Tagen")</f>
        <v>Vor mehr als 30 Tagen</v>
      </c>
      <c r="C170" s="7" t="str">
        <f>IFERROR(__xludf.DUMMYFUNCTION("""COMPUTED_VALUE"""),"Technology Architect – Data and Analytics - Cloud platforms")</f>
        <v>Technology Architect – Data and Analytics - Cloud platforms</v>
      </c>
      <c r="D170" s="7" t="str">
        <f>IFERROR(__xludf.DUMMYFUNCTION("""COMPUTED_VALUE"""),"München")</f>
        <v>München</v>
      </c>
      <c r="E170" s="7" t="str">
        <f>IFERROR(__xludf.DUMMYFUNCTION("""COMPUTED_VALUE"""),"Infosys Limited")</f>
        <v>Infosys Limited</v>
      </c>
      <c r="F170" s="7" t="str">
        <f>IFERROR(__xludf.DUMMYFUNCTION("""COMPUTED_VALUE"""),"None")</f>
        <v>None</v>
      </c>
      <c r="G170" s="7" t="str">
        <f>IFERROR(__xludf.DUMMYFUNCTION("""COMPUTED_VALUE"""),"No salary data")</f>
        <v>No salary data</v>
      </c>
      <c r="H170" s="7" t="str">
        <f>IFERROR(__xludf.DUMMYFUNCTION("""COMPUTED_VALUE"""),"No salary data")</f>
        <v>No salary data</v>
      </c>
      <c r="I170" s="7" t="str">
        <f>IFERROR(__xludf.DUMMYFUNCTION("""COMPUTED_VALUE"""),"No salary data")</f>
        <v>No salary data</v>
      </c>
      <c r="J170" s="7" t="str">
        <f>IFERROR(__xludf.DUMMYFUNCTION("""COMPUTED_VALUE"""),"Python, SQL, Excel, Git, Agile")</f>
        <v>Python, SQL, Excel, Git, Agile</v>
      </c>
      <c r="K170" s="7" t="str">
        <f>IFERROR(__xludf.DUMMYFUNCTION("""COMPUTED_VALUE"""),"No job type data")</f>
        <v>No job type data</v>
      </c>
      <c r="L170" s="7" t="str">
        <f>IFERROR(__xludf.DUMMYFUNCTION("""COMPUTED_VALUE"""),"3,9")</f>
        <v>3,9</v>
      </c>
      <c r="M170" s="7"/>
      <c r="N170" s="7"/>
      <c r="O170" s="7"/>
    </row>
    <row r="171">
      <c r="A171" s="29">
        <f>IFERROR(__xludf.DUMMYFUNCTION("""COMPUTED_VALUE"""),167.0)</f>
        <v>167</v>
      </c>
      <c r="B171" s="7" t="str">
        <f>IFERROR(__xludf.DUMMYFUNCTION("""COMPUTED_VALUE"""),"vor 2 Tagen")</f>
        <v>vor 2 Tagen</v>
      </c>
      <c r="C171" s="7" t="str">
        <f>IFERROR(__xludf.DUMMYFUNCTION("""COMPUTED_VALUE"""),"Data Scientist (m|f|d)")</f>
        <v>Data Scientist (m|f|d)</v>
      </c>
      <c r="D171" s="7" t="str">
        <f>IFERROR(__xludf.DUMMYFUNCTION("""COMPUTED_VALUE"""),"Göttingen")</f>
        <v>Göttingen</v>
      </c>
      <c r="E171" s="7" t="str">
        <f>IFERROR(__xludf.DUMMYFUNCTION("""COMPUTED_VALUE"""),"Sartorius Corporation")</f>
        <v>Sartorius Corporation</v>
      </c>
      <c r="F171" s="7" t="str">
        <f>IFERROR(__xludf.DUMMYFUNCTION("""COMPUTED_VALUE"""),"None")</f>
        <v>None</v>
      </c>
      <c r="G171" s="7" t="str">
        <f>IFERROR(__xludf.DUMMYFUNCTION("""COMPUTED_VALUE"""),"No salary data")</f>
        <v>No salary data</v>
      </c>
      <c r="H171" s="7" t="str">
        <f>IFERROR(__xludf.DUMMYFUNCTION("""COMPUTED_VALUE"""),"No salary data")</f>
        <v>No salary data</v>
      </c>
      <c r="I171" s="7" t="str">
        <f>IFERROR(__xludf.DUMMYFUNCTION("""COMPUTED_VALUE"""),"No salary data")</f>
        <v>No salary data</v>
      </c>
      <c r="J171" s="7" t="str">
        <f>IFERROR(__xludf.DUMMYFUNCTION("""COMPUTED_VALUE"""),"Python, SQL, Excel, Machine Learning, Agile")</f>
        <v>Python, SQL, Excel, Machine Learning, Agile</v>
      </c>
      <c r="K171" s="7" t="str">
        <f>IFERROR(__xludf.DUMMYFUNCTION("""COMPUTED_VALUE"""),"Full Time")</f>
        <v>Full Time</v>
      </c>
      <c r="L171" s="7" t="str">
        <f>IFERROR(__xludf.DUMMYFUNCTION("""COMPUTED_VALUE"""),"3,7")</f>
        <v>3,7</v>
      </c>
      <c r="M171" s="7"/>
      <c r="N171" s="7"/>
      <c r="O171" s="7"/>
    </row>
    <row r="172">
      <c r="A172" s="29">
        <f>IFERROR(__xludf.DUMMYFUNCTION("""COMPUTED_VALUE"""),168.0)</f>
        <v>168</v>
      </c>
      <c r="B172" s="7" t="str">
        <f>IFERROR(__xludf.DUMMYFUNCTION("""COMPUTED_VALUE"""),"vor 9 Tagen")</f>
        <v>vor 9 Tagen</v>
      </c>
      <c r="C172" s="7" t="str">
        <f>IFERROR(__xludf.DUMMYFUNCTION("""COMPUTED_VALUE"""),"Working students for GEA Business Intelligence in Dusseldorf...")</f>
        <v>Working students for GEA Business Intelligence in Dusseldorf...</v>
      </c>
      <c r="D172" s="7" t="str">
        <f>IFERROR(__xludf.DUMMYFUNCTION("""COMPUTED_VALUE"""),"Düsseldorf")</f>
        <v>Düsseldorf</v>
      </c>
      <c r="E172" s="7" t="str">
        <f>IFERROR(__xludf.DUMMYFUNCTION("""COMPUTED_VALUE"""),"GBI Ingenieurgesellschaft für Management und Techn...")</f>
        <v>GBI Ingenieurgesellschaft für Management und Techn...</v>
      </c>
      <c r="F172" s="7" t="str">
        <f>IFERROR(__xludf.DUMMYFUNCTION("""COMPUTED_VALUE"""),"None")</f>
        <v>None</v>
      </c>
      <c r="G172" s="7" t="str">
        <f>IFERROR(__xludf.DUMMYFUNCTION("""COMPUTED_VALUE"""),"No salary data")</f>
        <v>No salary data</v>
      </c>
      <c r="H172" s="7" t="str">
        <f>IFERROR(__xludf.DUMMYFUNCTION("""COMPUTED_VALUE"""),"No salary data")</f>
        <v>No salary data</v>
      </c>
      <c r="I172" s="7" t="str">
        <f>IFERROR(__xludf.DUMMYFUNCTION("""COMPUTED_VALUE"""),"No salary data")</f>
        <v>No salary data</v>
      </c>
      <c r="J172" s="7" t="str">
        <f>IFERROR(__xludf.DUMMYFUNCTION("""COMPUTED_VALUE"""),"Excel, Git")</f>
        <v>Excel, Git</v>
      </c>
      <c r="K172" s="7" t="str">
        <f>IFERROR(__xludf.DUMMYFUNCTION("""COMPUTED_VALUE"""),"Full Time")</f>
        <v>Full Time</v>
      </c>
      <c r="L172" s="7" t="str">
        <f>IFERROR(__xludf.DUMMYFUNCTION("""COMPUTED_VALUE"""),"None")</f>
        <v>None</v>
      </c>
      <c r="M172" s="7"/>
      <c r="N172" s="7"/>
      <c r="O172" s="7"/>
    </row>
    <row r="173">
      <c r="A173" s="29">
        <f>IFERROR(__xludf.DUMMYFUNCTION("""COMPUTED_VALUE"""),169.0)</f>
        <v>169</v>
      </c>
      <c r="B173" s="7" t="str">
        <f>IFERROR(__xludf.DUMMYFUNCTION("""COMPUTED_VALUE"""),"Vor mehr als 30 Tagen")</f>
        <v>Vor mehr als 30 Tagen</v>
      </c>
      <c r="C173" s="7" t="str">
        <f>IFERROR(__xludf.DUMMYFUNCTION("""COMPUTED_VALUE"""),"Data Engineer - Python")</f>
        <v>Data Engineer - Python</v>
      </c>
      <c r="D173" s="7" t="str">
        <f>IFERROR(__xludf.DUMMYFUNCTION("""COMPUTED_VALUE"""),"Berlin")</f>
        <v>Berlin</v>
      </c>
      <c r="E173" s="7" t="str">
        <f>IFERROR(__xludf.DUMMYFUNCTION("""COMPUTED_VALUE"""),"Klarna")</f>
        <v>Klarna</v>
      </c>
      <c r="F173" s="7" t="str">
        <f>IFERROR(__xludf.DUMMYFUNCTION("""COMPUTED_VALUE"""),"None")</f>
        <v>None</v>
      </c>
      <c r="G173" s="7" t="str">
        <f>IFERROR(__xludf.DUMMYFUNCTION("""COMPUTED_VALUE"""),"No salary data")</f>
        <v>No salary data</v>
      </c>
      <c r="H173" s="7" t="str">
        <f>IFERROR(__xludf.DUMMYFUNCTION("""COMPUTED_VALUE"""),"No salary data")</f>
        <v>No salary data</v>
      </c>
      <c r="I173" s="7" t="str">
        <f>IFERROR(__xludf.DUMMYFUNCTION("""COMPUTED_VALUE"""),"No salary data")</f>
        <v>No salary data</v>
      </c>
      <c r="J173" s="7" t="str">
        <f>IFERROR(__xludf.DUMMYFUNCTION("""COMPUTED_VALUE"""),"Python, SQL, Tableau, Git, Agile, Jira")</f>
        <v>Python, SQL, Tableau, Git, Agile, Jira</v>
      </c>
      <c r="K173" s="7" t="str">
        <f>IFERROR(__xludf.DUMMYFUNCTION("""COMPUTED_VALUE"""),"No job type data")</f>
        <v>No job type data</v>
      </c>
      <c r="L173" s="7" t="str">
        <f>IFERROR(__xludf.DUMMYFUNCTION("""COMPUTED_VALUE"""),"None")</f>
        <v>None</v>
      </c>
      <c r="M173" s="7"/>
      <c r="N173" s="7"/>
      <c r="O173" s="7"/>
    </row>
    <row r="174">
      <c r="A174" s="29">
        <f>IFERROR(__xludf.DUMMYFUNCTION("""COMPUTED_VALUE"""),170.0)</f>
        <v>170</v>
      </c>
      <c r="B174" s="7" t="str">
        <f>IFERROR(__xludf.DUMMYFUNCTION("""COMPUTED_VALUE"""),"vor 1 Tag")</f>
        <v>vor 1 Tag</v>
      </c>
      <c r="C174" s="7" t="str">
        <f>IFERROR(__xludf.DUMMYFUNCTION("""COMPUTED_VALUE"""),"Machine Learning Engineer")</f>
        <v>Machine Learning Engineer</v>
      </c>
      <c r="D174" s="7" t="str">
        <f>IFERROR(__xludf.DUMMYFUNCTION("""COMPUTED_VALUE"""),"Berlin")</f>
        <v>Berlin</v>
      </c>
      <c r="E174" s="7" t="str">
        <f>IFERROR(__xludf.DUMMYFUNCTION("""COMPUTED_VALUE"""),"SiaSearch")</f>
        <v>SiaSearch</v>
      </c>
      <c r="F174" s="7" t="str">
        <f>IFERROR(__xludf.DUMMYFUNCTION("""COMPUTED_VALUE"""),"None")</f>
        <v>None</v>
      </c>
      <c r="G174" s="7" t="str">
        <f>IFERROR(__xludf.DUMMYFUNCTION("""COMPUTED_VALUE"""),"No salary data")</f>
        <v>No salary data</v>
      </c>
      <c r="H174" s="7" t="str">
        <f>IFERROR(__xludf.DUMMYFUNCTION("""COMPUTED_VALUE"""),"No salary data")</f>
        <v>No salary data</v>
      </c>
      <c r="I174" s="7" t="str">
        <f>IFERROR(__xludf.DUMMYFUNCTION("""COMPUTED_VALUE"""),"No salary data")</f>
        <v>No salary data</v>
      </c>
      <c r="J174" s="7" t="str">
        <f>IFERROR(__xludf.DUMMYFUNCTION("""COMPUTED_VALUE"""),"Python, Excel, Machine Learning")</f>
        <v>Python, Excel, Machine Learning</v>
      </c>
      <c r="K174" s="7" t="str">
        <f>IFERROR(__xludf.DUMMYFUNCTION("""COMPUTED_VALUE"""),"No job type data")</f>
        <v>No job type data</v>
      </c>
      <c r="L174" s="7" t="str">
        <f>IFERROR(__xludf.DUMMYFUNCTION("""COMPUTED_VALUE"""),"None")</f>
        <v>None</v>
      </c>
      <c r="M174" s="7"/>
      <c r="N174" s="7"/>
      <c r="O174" s="7"/>
    </row>
    <row r="175">
      <c r="A175" s="29">
        <f>IFERROR(__xludf.DUMMYFUNCTION("""COMPUTED_VALUE"""),171.0)</f>
        <v>171</v>
      </c>
      <c r="B175" s="7" t="str">
        <f>IFERROR(__xludf.DUMMYFUNCTION("""COMPUTED_VALUE"""),"vor 3 Tagen")</f>
        <v>vor 3 Tagen</v>
      </c>
      <c r="C175" s="7" t="str">
        <f>IFERROR(__xludf.DUMMYFUNCTION("""COMPUTED_VALUE"""),"Data Engineer (m/w/d)")</f>
        <v>Data Engineer (m/w/d)</v>
      </c>
      <c r="D175" s="7" t="str">
        <f>IFERROR(__xludf.DUMMYFUNCTION("""COMPUTED_VALUE"""),"Berlin")</f>
        <v>Berlin</v>
      </c>
      <c r="E175" s="7" t="str">
        <f>IFERROR(__xludf.DUMMYFUNCTION("""COMPUTED_VALUE"""),"Plan D GmbH")</f>
        <v>Plan D GmbH</v>
      </c>
      <c r="F175" s="7" t="str">
        <f>IFERROR(__xludf.DUMMYFUNCTION("""COMPUTED_VALUE"""),"None")</f>
        <v>None</v>
      </c>
      <c r="G175" s="7" t="str">
        <f>IFERROR(__xludf.DUMMYFUNCTION("""COMPUTED_VALUE"""),"No salary data")</f>
        <v>No salary data</v>
      </c>
      <c r="H175" s="7" t="str">
        <f>IFERROR(__xludf.DUMMYFUNCTION("""COMPUTED_VALUE"""),"No salary data")</f>
        <v>No salary data</v>
      </c>
      <c r="I175" s="7" t="str">
        <f>IFERROR(__xludf.DUMMYFUNCTION("""COMPUTED_VALUE"""),"No salary data")</f>
        <v>No salary data</v>
      </c>
      <c r="J175" s="7" t="str">
        <f>IFERROR(__xludf.DUMMYFUNCTION("""COMPUTED_VALUE"""),"Python, SQL, Git, Agile")</f>
        <v>Python, SQL, Git, Agile</v>
      </c>
      <c r="K175" s="7" t="str">
        <f>IFERROR(__xludf.DUMMYFUNCTION("""COMPUTED_VALUE"""),"No job type data")</f>
        <v>No job type data</v>
      </c>
      <c r="L175" s="7" t="str">
        <f>IFERROR(__xludf.DUMMYFUNCTION("""COMPUTED_VALUE"""),"None")</f>
        <v>None</v>
      </c>
      <c r="M175" s="7"/>
      <c r="N175" s="7"/>
      <c r="O175" s="7"/>
    </row>
    <row r="176">
      <c r="A176" s="29">
        <f>IFERROR(__xludf.DUMMYFUNCTION("""COMPUTED_VALUE"""),172.0)</f>
        <v>172</v>
      </c>
      <c r="B176" s="7" t="str">
        <f>IFERROR(__xludf.DUMMYFUNCTION("""COMPUTED_VALUE"""),"vor 5 Tagen")</f>
        <v>vor 5 Tagen</v>
      </c>
      <c r="C176" s="7" t="str">
        <f>IFERROR(__xludf.DUMMYFUNCTION("""COMPUTED_VALUE"""),"Junior Data Analytics Manager (m/w/d)")</f>
        <v>Junior Data Analytics Manager (m/w/d)</v>
      </c>
      <c r="D176" s="7" t="str">
        <f>IFERROR(__xludf.DUMMYFUNCTION("""COMPUTED_VALUE"""),"Frankfurt am Main")</f>
        <v>Frankfurt am Main</v>
      </c>
      <c r="E176" s="7" t="str">
        <f>IFERROR(__xludf.DUMMYFUNCTION("""COMPUTED_VALUE"""),"Da Vinci Engineering GmbH")</f>
        <v>Da Vinci Engineering GmbH</v>
      </c>
      <c r="F176" s="7" t="str">
        <f>IFERROR(__xludf.DUMMYFUNCTION("""COMPUTED_VALUE"""),"None")</f>
        <v>None</v>
      </c>
      <c r="G176" s="7" t="str">
        <f>IFERROR(__xludf.DUMMYFUNCTION("""COMPUTED_VALUE"""),"No salary data")</f>
        <v>No salary data</v>
      </c>
      <c r="H176" s="7" t="str">
        <f>IFERROR(__xludf.DUMMYFUNCTION("""COMPUTED_VALUE"""),"No salary data")</f>
        <v>No salary data</v>
      </c>
      <c r="I176" s="7" t="str">
        <f>IFERROR(__xludf.DUMMYFUNCTION("""COMPUTED_VALUE"""),"No salary data")</f>
        <v>No salary data</v>
      </c>
      <c r="J176" s="7" t="str">
        <f>IFERROR(__xludf.DUMMYFUNCTION("""COMPUTED_VALUE"""),"Python, Linux")</f>
        <v>Python, Linux</v>
      </c>
      <c r="K176" s="7" t="str">
        <f>IFERROR(__xludf.DUMMYFUNCTION("""COMPUTED_VALUE"""),"No job type data")</f>
        <v>No job type data</v>
      </c>
      <c r="L176" s="7" t="str">
        <f>IFERROR(__xludf.DUMMYFUNCTION("""COMPUTED_VALUE"""),"4,0")</f>
        <v>4,0</v>
      </c>
      <c r="M176" s="7"/>
      <c r="N176" s="7"/>
      <c r="O176" s="7"/>
    </row>
    <row r="177">
      <c r="A177" s="29">
        <f>IFERROR(__xludf.DUMMYFUNCTION("""COMPUTED_VALUE"""),173.0)</f>
        <v>173</v>
      </c>
      <c r="B177" s="7" t="str">
        <f>IFERROR(__xludf.DUMMYFUNCTION("""COMPUTED_VALUE"""),"vor 1 Tag")</f>
        <v>vor 1 Tag</v>
      </c>
      <c r="C177" s="7" t="str">
        <f>IFERROR(__xludf.DUMMYFUNCTION("""COMPUTED_VALUE"""),"eCommerce Data &amp; Business Analyst (m/f/d)")</f>
        <v>eCommerce Data &amp; Business Analyst (m/f/d)</v>
      </c>
      <c r="D177" s="7" t="str">
        <f>IFERROR(__xludf.DUMMYFUNCTION("""COMPUTED_VALUE"""),"Berlin")</f>
        <v>Berlin</v>
      </c>
      <c r="E177" s="7" t="str">
        <f>IFERROR(__xludf.DUMMYFUNCTION("""COMPUTED_VALUE"""),"IT Search")</f>
        <v>IT Search</v>
      </c>
      <c r="F177" s="7" t="str">
        <f>IFERROR(__xludf.DUMMYFUNCTION("""COMPUTED_VALUE"""),"None")</f>
        <v>None</v>
      </c>
      <c r="G177" s="7" t="str">
        <f>IFERROR(__xludf.DUMMYFUNCTION("""COMPUTED_VALUE"""),"No salary data")</f>
        <v>No salary data</v>
      </c>
      <c r="H177" s="7" t="str">
        <f>IFERROR(__xludf.DUMMYFUNCTION("""COMPUTED_VALUE"""),"No salary data")</f>
        <v>No salary data</v>
      </c>
      <c r="I177" s="7" t="str">
        <f>IFERROR(__xludf.DUMMYFUNCTION("""COMPUTED_VALUE"""),"No salary data")</f>
        <v>No salary data</v>
      </c>
      <c r="J177" s="7" t="str">
        <f>IFERROR(__xludf.DUMMYFUNCTION("""COMPUTED_VALUE"""),"Python, SQL, Git")</f>
        <v>Python, SQL, Git</v>
      </c>
      <c r="K177" s="7" t="str">
        <f>IFERROR(__xludf.DUMMYFUNCTION("""COMPUTED_VALUE"""),"No job type data")</f>
        <v>No job type data</v>
      </c>
      <c r="L177" s="7" t="str">
        <f>IFERROR(__xludf.DUMMYFUNCTION("""COMPUTED_VALUE"""),"None")</f>
        <v>None</v>
      </c>
      <c r="M177" s="7"/>
      <c r="N177" s="7"/>
      <c r="O177" s="7"/>
    </row>
    <row r="178">
      <c r="A178" s="29">
        <f>IFERROR(__xludf.DUMMYFUNCTION("""COMPUTED_VALUE"""),174.0)</f>
        <v>174</v>
      </c>
      <c r="B178" s="7" t="str">
        <f>IFERROR(__xludf.DUMMYFUNCTION("""COMPUTED_VALUE"""),"vor 4 Tagen")</f>
        <v>vor 4 Tagen</v>
      </c>
      <c r="C178" s="7" t="str">
        <f>IFERROR(__xludf.DUMMYFUNCTION("""COMPUTED_VALUE"""),"Data Intelligence Architect (m/w/d) - fully remote!")</f>
        <v>Data Intelligence Architect (m/w/d) - fully remote!</v>
      </c>
      <c r="D178" s="7" t="str">
        <f>IFERROR(__xludf.DUMMYFUNCTION("""COMPUTED_VALUE"""),"München")</f>
        <v>München</v>
      </c>
      <c r="E178" s="7" t="str">
        <f>IFERROR(__xludf.DUMMYFUNCTION("""COMPUTED_VALUE"""),"Harvey Nash GmbH")</f>
        <v>Harvey Nash GmbH</v>
      </c>
      <c r="F178" s="7" t="str">
        <f>IFERROR(__xludf.DUMMYFUNCTION("""COMPUTED_VALUE"""),"None")</f>
        <v>None</v>
      </c>
      <c r="G178" s="7" t="str">
        <f>IFERROR(__xludf.DUMMYFUNCTION("""COMPUTED_VALUE"""),"No salary data")</f>
        <v>No salary data</v>
      </c>
      <c r="H178" s="7" t="str">
        <f>IFERROR(__xludf.DUMMYFUNCTION("""COMPUTED_VALUE"""),"No salary data")</f>
        <v>No salary data</v>
      </c>
      <c r="I178" s="7" t="str">
        <f>IFERROR(__xludf.DUMMYFUNCTION("""COMPUTED_VALUE"""),"No salary data")</f>
        <v>No salary data</v>
      </c>
      <c r="J178" s="7" t="str">
        <f>IFERROR(__xludf.DUMMYFUNCTION("""COMPUTED_VALUE"""),"Python, SQL, Git, Agile, Jira")</f>
        <v>Python, SQL, Git, Agile, Jira</v>
      </c>
      <c r="K178" s="7" t="str">
        <f>IFERROR(__xludf.DUMMYFUNCTION("""COMPUTED_VALUE"""),"No job type data")</f>
        <v>No job type data</v>
      </c>
      <c r="L178" s="7" t="str">
        <f>IFERROR(__xludf.DUMMYFUNCTION("""COMPUTED_VALUE"""),"3,8")</f>
        <v>3,8</v>
      </c>
      <c r="M178" s="7"/>
      <c r="N178" s="7"/>
      <c r="O178" s="7"/>
    </row>
    <row r="179">
      <c r="A179" s="29">
        <f>IFERROR(__xludf.DUMMYFUNCTION("""COMPUTED_VALUE"""),175.0)</f>
        <v>175</v>
      </c>
      <c r="B179" s="7" t="str">
        <f>IFERROR(__xludf.DUMMYFUNCTION("""COMPUTED_VALUE"""),"vor 24 Tagen")</f>
        <v>vor 24 Tagen</v>
      </c>
      <c r="C179" s="7" t="str">
        <f>IFERROR(__xludf.DUMMYFUNCTION("""COMPUTED_VALUE"""),"Data Engineer (f/m/d)")</f>
        <v>Data Engineer (f/m/d)</v>
      </c>
      <c r="D179" s="7" t="str">
        <f>IFERROR(__xludf.DUMMYFUNCTION("""COMPUTED_VALUE"""),"Hamburg")</f>
        <v>Hamburg</v>
      </c>
      <c r="E179" s="7" t="str">
        <f>IFERROR(__xludf.DUMMYFUNCTION("""COMPUTED_VALUE"""),"Modis GmbH")</f>
        <v>Modis GmbH</v>
      </c>
      <c r="F179" s="7" t="str">
        <f>IFERROR(__xludf.DUMMYFUNCTION("""COMPUTED_VALUE"""),"None")</f>
        <v>None</v>
      </c>
      <c r="G179" s="7" t="str">
        <f>IFERROR(__xludf.DUMMYFUNCTION("""COMPUTED_VALUE"""),"No salary data")</f>
        <v>No salary data</v>
      </c>
      <c r="H179" s="7" t="str">
        <f>IFERROR(__xludf.DUMMYFUNCTION("""COMPUTED_VALUE"""),"No salary data")</f>
        <v>No salary data</v>
      </c>
      <c r="I179" s="7" t="str">
        <f>IFERROR(__xludf.DUMMYFUNCTION("""COMPUTED_VALUE"""),"No salary data")</f>
        <v>No salary data</v>
      </c>
      <c r="J179" s="7" t="str">
        <f>IFERROR(__xludf.DUMMYFUNCTION("""COMPUTED_VALUE"""),"Python, SQL, Agile")</f>
        <v>Python, SQL, Agile</v>
      </c>
      <c r="K179" s="7" t="str">
        <f>IFERROR(__xludf.DUMMYFUNCTION("""COMPUTED_VALUE"""),"Permanent")</f>
        <v>Permanent</v>
      </c>
      <c r="L179" s="7" t="str">
        <f>IFERROR(__xludf.DUMMYFUNCTION("""COMPUTED_VALUE"""),"3,8")</f>
        <v>3,8</v>
      </c>
      <c r="M179" s="7"/>
      <c r="N179" s="7"/>
      <c r="O179" s="7"/>
    </row>
    <row r="180">
      <c r="A180" s="29">
        <f>IFERROR(__xludf.DUMMYFUNCTION("""COMPUTED_VALUE"""),176.0)</f>
        <v>176</v>
      </c>
      <c r="B180" s="7" t="str">
        <f>IFERROR(__xludf.DUMMYFUNCTION("""COMPUTED_VALUE"""),"vor 14 Tagen")</f>
        <v>vor 14 Tagen</v>
      </c>
      <c r="C180" s="7" t="str">
        <f>IFERROR(__xludf.DUMMYFUNCTION("""COMPUTED_VALUE"""),"Junior Data Engineer (w/m/d)")</f>
        <v>Junior Data Engineer (w/m/d)</v>
      </c>
      <c r="D180" s="7" t="str">
        <f>IFERROR(__xludf.DUMMYFUNCTION("""COMPUTED_VALUE"""),"Hamburg")</f>
        <v>Hamburg</v>
      </c>
      <c r="E180" s="7" t="str">
        <f>IFERROR(__xludf.DUMMYFUNCTION("""COMPUTED_VALUE"""),"Otto Group Holding")</f>
        <v>Otto Group Holding</v>
      </c>
      <c r="F180" s="7" t="str">
        <f>IFERROR(__xludf.DUMMYFUNCTION("""COMPUTED_VALUE"""),"None")</f>
        <v>None</v>
      </c>
      <c r="G180" s="7" t="str">
        <f>IFERROR(__xludf.DUMMYFUNCTION("""COMPUTED_VALUE"""),"No salary data")</f>
        <v>No salary data</v>
      </c>
      <c r="H180" s="7" t="str">
        <f>IFERROR(__xludf.DUMMYFUNCTION("""COMPUTED_VALUE"""),"No salary data")</f>
        <v>No salary data</v>
      </c>
      <c r="I180" s="7" t="str">
        <f>IFERROR(__xludf.DUMMYFUNCTION("""COMPUTED_VALUE"""),"No salary data")</f>
        <v>No salary data</v>
      </c>
      <c r="J180" s="7" t="str">
        <f>IFERROR(__xludf.DUMMYFUNCTION("""COMPUTED_VALUE"""),"Python, SQL, Git")</f>
        <v>Python, SQL, Git</v>
      </c>
      <c r="K180" s="7" t="str">
        <f>IFERROR(__xludf.DUMMYFUNCTION("""COMPUTED_VALUE"""),"No job type data")</f>
        <v>No job type data</v>
      </c>
      <c r="L180" s="7" t="str">
        <f>IFERROR(__xludf.DUMMYFUNCTION("""COMPUTED_VALUE"""),"None")</f>
        <v>None</v>
      </c>
      <c r="M180" s="7"/>
      <c r="N180" s="7"/>
      <c r="O180" s="7"/>
    </row>
    <row r="181">
      <c r="A181" s="29">
        <f>IFERROR(__xludf.DUMMYFUNCTION("""COMPUTED_VALUE"""),177.0)</f>
        <v>177</v>
      </c>
      <c r="B181" s="7" t="str">
        <f>IFERROR(__xludf.DUMMYFUNCTION("""COMPUTED_VALUE"""),"Vor mehr als 30 Tagen")</f>
        <v>Vor mehr als 30 Tagen</v>
      </c>
      <c r="C181" s="7" t="str">
        <f>IFERROR(__xludf.DUMMYFUNCTION("""COMPUTED_VALUE"""),"Data Analytics Spezialist (m/w/d)")</f>
        <v>Data Analytics Spezialist (m/w/d)</v>
      </c>
      <c r="D181" s="7" t="str">
        <f>IFERROR(__xludf.DUMMYFUNCTION("""COMPUTED_VALUE"""),"Deutschland")</f>
        <v>Deutschland</v>
      </c>
      <c r="E181" s="7" t="str">
        <f>IFERROR(__xludf.DUMMYFUNCTION("""COMPUTED_VALUE"""),"Cluster Reply")</f>
        <v>Cluster Reply</v>
      </c>
      <c r="F181" s="7" t="str">
        <f>IFERROR(__xludf.DUMMYFUNCTION("""COMPUTED_VALUE"""),"None")</f>
        <v>None</v>
      </c>
      <c r="G181" s="7" t="str">
        <f>IFERROR(__xludf.DUMMYFUNCTION("""COMPUTED_VALUE"""),"No salary data")</f>
        <v>No salary data</v>
      </c>
      <c r="H181" s="7" t="str">
        <f>IFERROR(__xludf.DUMMYFUNCTION("""COMPUTED_VALUE"""),"No salary data")</f>
        <v>No salary data</v>
      </c>
      <c r="I181" s="7" t="str">
        <f>IFERROR(__xludf.DUMMYFUNCTION("""COMPUTED_VALUE"""),"No salary data")</f>
        <v>No salary data</v>
      </c>
      <c r="J181" s="7" t="str">
        <f>IFERROR(__xludf.DUMMYFUNCTION("""COMPUTED_VALUE"""),"Python, SQL, Machine Learning")</f>
        <v>Python, SQL, Machine Learning</v>
      </c>
      <c r="K181" s="7" t="str">
        <f>IFERROR(__xludf.DUMMYFUNCTION("""COMPUTED_VALUE"""),"No job type data")</f>
        <v>No job type data</v>
      </c>
      <c r="L181" s="7" t="str">
        <f>IFERROR(__xludf.DUMMYFUNCTION("""COMPUTED_VALUE"""),"3,1")</f>
        <v>3,1</v>
      </c>
      <c r="M181" s="7"/>
      <c r="N181" s="7"/>
      <c r="O181" s="7"/>
    </row>
    <row r="182">
      <c r="A182" s="29">
        <f>IFERROR(__xludf.DUMMYFUNCTION("""COMPUTED_VALUE"""),178.0)</f>
        <v>178</v>
      </c>
      <c r="B182" s="7" t="str">
        <f>IFERROR(__xludf.DUMMYFUNCTION("""COMPUTED_VALUE"""),"vor 2 Tagen")</f>
        <v>vor 2 Tagen</v>
      </c>
      <c r="C182" s="7" t="str">
        <f>IFERROR(__xludf.DUMMYFUNCTION("""COMPUTED_VALUE"""),"Data Engineer (m/w/d)")</f>
        <v>Data Engineer (m/w/d)</v>
      </c>
      <c r="D182" s="7" t="str">
        <f>IFERROR(__xludf.DUMMYFUNCTION("""COMPUTED_VALUE"""),"Göttingen")</f>
        <v>Göttingen</v>
      </c>
      <c r="E182" s="7" t="str">
        <f>IFERROR(__xludf.DUMMYFUNCTION("""COMPUTED_VALUE"""),"Sartorius Corporation")</f>
        <v>Sartorius Corporation</v>
      </c>
      <c r="F182" s="7" t="str">
        <f>IFERROR(__xludf.DUMMYFUNCTION("""COMPUTED_VALUE"""),"None")</f>
        <v>None</v>
      </c>
      <c r="G182" s="7" t="str">
        <f>IFERROR(__xludf.DUMMYFUNCTION("""COMPUTED_VALUE"""),"No salary data")</f>
        <v>No salary data</v>
      </c>
      <c r="H182" s="7" t="str">
        <f>IFERROR(__xludf.DUMMYFUNCTION("""COMPUTED_VALUE"""),"No salary data")</f>
        <v>No salary data</v>
      </c>
      <c r="I182" s="7" t="str">
        <f>IFERROR(__xludf.DUMMYFUNCTION("""COMPUTED_VALUE"""),"No salary data")</f>
        <v>No salary data</v>
      </c>
      <c r="J182" s="7" t="str">
        <f>IFERROR(__xludf.DUMMYFUNCTION("""COMPUTED_VALUE"""),"SQL, Agile")</f>
        <v>SQL, Agile</v>
      </c>
      <c r="K182" s="7" t="str">
        <f>IFERROR(__xludf.DUMMYFUNCTION("""COMPUTED_VALUE"""),"Full Time")</f>
        <v>Full Time</v>
      </c>
      <c r="L182" s="7" t="str">
        <f>IFERROR(__xludf.DUMMYFUNCTION("""COMPUTED_VALUE"""),"3,7")</f>
        <v>3,7</v>
      </c>
      <c r="M182" s="7"/>
      <c r="N182" s="7"/>
      <c r="O182" s="7"/>
    </row>
    <row r="183">
      <c r="A183" s="29">
        <f>IFERROR(__xludf.DUMMYFUNCTION("""COMPUTED_VALUE"""),179.0)</f>
        <v>179</v>
      </c>
      <c r="B183" s="7" t="str">
        <f>IFERROR(__xludf.DUMMYFUNCTION("""COMPUTED_VALUE"""),"vor 3 Tagen")</f>
        <v>vor 3 Tagen</v>
      </c>
      <c r="C183" s="7" t="str">
        <f>IFERROR(__xludf.DUMMYFUNCTION("""COMPUTED_VALUE"""),"Data Scientist / Data Analyst (m/w/d) Customer &amp; Market Anal...")</f>
        <v>Data Scientist / Data Analyst (m/w/d) Customer &amp; Market Anal...</v>
      </c>
      <c r="D183" s="7" t="str">
        <f>IFERROR(__xludf.DUMMYFUNCTION("""COMPUTED_VALUE"""),"Winnenden")</f>
        <v>Winnenden</v>
      </c>
      <c r="E183" s="7" t="str">
        <f>IFERROR(__xludf.DUMMYFUNCTION("""COMPUTED_VALUE"""),"Alfred Kärcher SE &amp; Co. KG")</f>
        <v>Alfred Kärcher SE &amp; Co. KG</v>
      </c>
      <c r="F183" s="7" t="str">
        <f>IFERROR(__xludf.DUMMYFUNCTION("""COMPUTED_VALUE"""),"None")</f>
        <v>None</v>
      </c>
      <c r="G183" s="7" t="str">
        <f>IFERROR(__xludf.DUMMYFUNCTION("""COMPUTED_VALUE"""),"No salary data")</f>
        <v>No salary data</v>
      </c>
      <c r="H183" s="7" t="str">
        <f>IFERROR(__xludf.DUMMYFUNCTION("""COMPUTED_VALUE"""),"No salary data")</f>
        <v>No salary data</v>
      </c>
      <c r="I183" s="7" t="str">
        <f>IFERROR(__xludf.DUMMYFUNCTION("""COMPUTED_VALUE"""),"No salary data")</f>
        <v>No salary data</v>
      </c>
      <c r="J183" s="7" t="str">
        <f>IFERROR(__xludf.DUMMYFUNCTION("""COMPUTED_VALUE"""),"Python, SQL")</f>
        <v>Python, SQL</v>
      </c>
      <c r="K183" s="7" t="str">
        <f>IFERROR(__xludf.DUMMYFUNCTION("""COMPUTED_VALUE"""),"No job type data")</f>
        <v>No job type data</v>
      </c>
      <c r="L183" s="7" t="str">
        <f>IFERROR(__xludf.DUMMYFUNCTION("""COMPUTED_VALUE"""),"3,7")</f>
        <v>3,7</v>
      </c>
      <c r="M183" s="7"/>
      <c r="N183" s="7"/>
      <c r="O183" s="7"/>
    </row>
    <row r="184">
      <c r="A184" s="29">
        <f>IFERROR(__xludf.DUMMYFUNCTION("""COMPUTED_VALUE"""),180.0)</f>
        <v>180</v>
      </c>
      <c r="B184" s="7" t="str">
        <f>IFERROR(__xludf.DUMMYFUNCTION("""COMPUTED_VALUE"""),"Vor mehr als 30 Tagen")</f>
        <v>Vor mehr als 30 Tagen</v>
      </c>
      <c r="C184" s="7" t="str">
        <f>IFERROR(__xludf.DUMMYFUNCTION("""COMPUTED_VALUE"""),"Python Developer Working Student (m/f/d) - Industrial Data S...")</f>
        <v>Python Developer Working Student (m/f/d) - Industrial Data S...</v>
      </c>
      <c r="D184" s="7" t="str">
        <f>IFERROR(__xludf.DUMMYFUNCTION("""COMPUTED_VALUE"""),"Berlin")</f>
        <v>Berlin</v>
      </c>
      <c r="E184" s="7" t="str">
        <f>IFERROR(__xludf.DUMMYFUNCTION("""COMPUTED_VALUE"""),"Smart Steel Technologies GmbH")</f>
        <v>Smart Steel Technologies GmbH</v>
      </c>
      <c r="F184" s="7" t="str">
        <f>IFERROR(__xludf.DUMMYFUNCTION("""COMPUTED_VALUE"""),"None")</f>
        <v>None</v>
      </c>
      <c r="G184" s="7" t="str">
        <f>IFERROR(__xludf.DUMMYFUNCTION("""COMPUTED_VALUE"""),"No salary data")</f>
        <v>No salary data</v>
      </c>
      <c r="H184" s="7" t="str">
        <f>IFERROR(__xludf.DUMMYFUNCTION("""COMPUTED_VALUE"""),"No salary data")</f>
        <v>No salary data</v>
      </c>
      <c r="I184" s="7" t="str">
        <f>IFERROR(__xludf.DUMMYFUNCTION("""COMPUTED_VALUE"""),"No salary data")</f>
        <v>No salary data</v>
      </c>
      <c r="J184" s="7" t="str">
        <f>IFERROR(__xludf.DUMMYFUNCTION("""COMPUTED_VALUE"""),"Python, SQL, Machine Learning, Statistic, Linux")</f>
        <v>Python, SQL, Machine Learning, Statistic, Linux</v>
      </c>
      <c r="K184" s="7" t="str">
        <f>IFERROR(__xludf.DUMMYFUNCTION("""COMPUTED_VALUE"""),"No job type data")</f>
        <v>No job type data</v>
      </c>
      <c r="L184" s="7" t="str">
        <f>IFERROR(__xludf.DUMMYFUNCTION("""COMPUTED_VALUE"""),"None")</f>
        <v>None</v>
      </c>
      <c r="M184" s="7"/>
      <c r="N184" s="7"/>
      <c r="O184" s="7"/>
    </row>
    <row r="185">
      <c r="A185" s="29">
        <f>IFERROR(__xludf.DUMMYFUNCTION("""COMPUTED_VALUE"""),181.0)</f>
        <v>181</v>
      </c>
      <c r="B185" s="7" t="str">
        <f>IFERROR(__xludf.DUMMYFUNCTION("""COMPUTED_VALUE"""),"Vor mehr als 30 Tagen")</f>
        <v>Vor mehr als 30 Tagen</v>
      </c>
      <c r="C185" s="7" t="str">
        <f>IFERROR(__xludf.DUMMYFUNCTION("""COMPUTED_VALUE"""),"Technical Data Analyst (all genders welcome)")</f>
        <v>Technical Data Analyst (all genders welcome)</v>
      </c>
      <c r="D185" s="7" t="str">
        <f>IFERROR(__xludf.DUMMYFUNCTION("""COMPUTED_VALUE"""),"Lingen")</f>
        <v>Lingen</v>
      </c>
      <c r="E185" s="7" t="str">
        <f>IFERROR(__xludf.DUMMYFUNCTION("""COMPUTED_VALUE"""),"ROSEN Group")</f>
        <v>ROSEN Group</v>
      </c>
      <c r="F185" s="7" t="str">
        <f>IFERROR(__xludf.DUMMYFUNCTION("""COMPUTED_VALUE"""),"None")</f>
        <v>None</v>
      </c>
      <c r="G185" s="7" t="str">
        <f>IFERROR(__xludf.DUMMYFUNCTION("""COMPUTED_VALUE"""),"No salary data")</f>
        <v>No salary data</v>
      </c>
      <c r="H185" s="7" t="str">
        <f>IFERROR(__xludf.DUMMYFUNCTION("""COMPUTED_VALUE"""),"No salary data")</f>
        <v>No salary data</v>
      </c>
      <c r="I185" s="7" t="str">
        <f>IFERROR(__xludf.DUMMYFUNCTION("""COMPUTED_VALUE"""),"No salary data")</f>
        <v>No salary data</v>
      </c>
      <c r="J185" s="7" t="str">
        <f>IFERROR(__xludf.DUMMYFUNCTION("""COMPUTED_VALUE"""),"Excel")</f>
        <v>Excel</v>
      </c>
      <c r="K185" s="7" t="str">
        <f>IFERROR(__xludf.DUMMYFUNCTION("""COMPUTED_VALUE"""),"No job type data")</f>
        <v>No job type data</v>
      </c>
      <c r="L185" s="7" t="str">
        <f>IFERROR(__xludf.DUMMYFUNCTION("""COMPUTED_VALUE"""),"None")</f>
        <v>None</v>
      </c>
      <c r="M185" s="7"/>
      <c r="N185" s="7"/>
      <c r="O185" s="7"/>
    </row>
    <row r="186">
      <c r="A186" s="29">
        <f>IFERROR(__xludf.DUMMYFUNCTION("""COMPUTED_VALUE"""),182.0)</f>
        <v>182</v>
      </c>
      <c r="B186" s="7" t="str">
        <f>IFERROR(__xludf.DUMMYFUNCTION("""COMPUTED_VALUE"""),"vor 4 Tagen")</f>
        <v>vor 4 Tagen</v>
      </c>
      <c r="C186" s="7" t="str">
        <f>IFERROR(__xludf.DUMMYFUNCTION("""COMPUTED_VALUE"""),"Data Architect / Engineer")</f>
        <v>Data Architect / Engineer</v>
      </c>
      <c r="D186" s="7" t="str">
        <f>IFERROR(__xludf.DUMMYFUNCTION("""COMPUTED_VALUE"""),"Berlin")</f>
        <v>Berlin</v>
      </c>
      <c r="E186" s="7" t="str">
        <f>IFERROR(__xludf.DUMMYFUNCTION("""COMPUTED_VALUE"""),"Borg Collective GmbH")</f>
        <v>Borg Collective GmbH</v>
      </c>
      <c r="F186" s="7" t="str">
        <f>IFERROR(__xludf.DUMMYFUNCTION("""COMPUTED_VALUE"""),"None")</f>
        <v>None</v>
      </c>
      <c r="G186" s="7" t="str">
        <f>IFERROR(__xludf.DUMMYFUNCTION("""COMPUTED_VALUE"""),"No salary data")</f>
        <v>No salary data</v>
      </c>
      <c r="H186" s="7" t="str">
        <f>IFERROR(__xludf.DUMMYFUNCTION("""COMPUTED_VALUE"""),"No salary data")</f>
        <v>No salary data</v>
      </c>
      <c r="I186" s="7" t="str">
        <f>IFERROR(__xludf.DUMMYFUNCTION("""COMPUTED_VALUE"""),"No salary data")</f>
        <v>No salary data</v>
      </c>
      <c r="J186" s="7" t="str">
        <f>IFERROR(__xludf.DUMMYFUNCTION("""COMPUTED_VALUE"""),"Python, Machine Learning, Deep Learning")</f>
        <v>Python, Machine Learning, Deep Learning</v>
      </c>
      <c r="K186" s="7" t="str">
        <f>IFERROR(__xludf.DUMMYFUNCTION("""COMPUTED_VALUE"""),"Full Time")</f>
        <v>Full Time</v>
      </c>
      <c r="L186" s="7" t="str">
        <f>IFERROR(__xludf.DUMMYFUNCTION("""COMPUTED_VALUE"""),"None")</f>
        <v>None</v>
      </c>
      <c r="M186" s="7"/>
      <c r="N186" s="7"/>
      <c r="O186" s="7"/>
    </row>
    <row r="187">
      <c r="A187" s="29">
        <f>IFERROR(__xludf.DUMMYFUNCTION("""COMPUTED_VALUE"""),183.0)</f>
        <v>183</v>
      </c>
      <c r="B187" s="7" t="str">
        <f>IFERROR(__xludf.DUMMYFUNCTION("""COMPUTED_VALUE"""),"vor 18 Tagen")</f>
        <v>vor 18 Tagen</v>
      </c>
      <c r="C187" s="7" t="str">
        <f>IFERROR(__xludf.DUMMYFUNCTION("""COMPUTED_VALUE"""),"DATA ANALYST/SCIENTIST (W/M/D)")</f>
        <v>DATA ANALYST/SCIENTIST (W/M/D)</v>
      </c>
      <c r="D187" s="7" t="str">
        <f>IFERROR(__xludf.DUMMYFUNCTION("""COMPUTED_VALUE"""),"Leipzig")</f>
        <v>Leipzig</v>
      </c>
      <c r="E187" s="7" t="str">
        <f>IFERROR(__xludf.DUMMYFUNCTION("""COMPUTED_VALUE"""),"URGROW GmbH")</f>
        <v>URGROW GmbH</v>
      </c>
      <c r="F187" s="7" t="str">
        <f>IFERROR(__xludf.DUMMYFUNCTION("""COMPUTED_VALUE"""),"None")</f>
        <v>None</v>
      </c>
      <c r="G187" s="7" t="str">
        <f>IFERROR(__xludf.DUMMYFUNCTION("""COMPUTED_VALUE"""),"No salary data")</f>
        <v>No salary data</v>
      </c>
      <c r="H187" s="7" t="str">
        <f>IFERROR(__xludf.DUMMYFUNCTION("""COMPUTED_VALUE"""),"No salary data")</f>
        <v>No salary data</v>
      </c>
      <c r="I187" s="7" t="str">
        <f>IFERROR(__xludf.DUMMYFUNCTION("""COMPUTED_VALUE"""),"No salary data")</f>
        <v>No salary data</v>
      </c>
      <c r="J187" s="7"/>
      <c r="K187" s="7" t="str">
        <f>IFERROR(__xludf.DUMMYFUNCTION("""COMPUTED_VALUE"""),"No job type data")</f>
        <v>No job type data</v>
      </c>
      <c r="L187" s="7" t="str">
        <f>IFERROR(__xludf.DUMMYFUNCTION("""COMPUTED_VALUE"""),"None")</f>
        <v>None</v>
      </c>
      <c r="M187" s="7"/>
      <c r="N187" s="7"/>
      <c r="O187" s="7"/>
    </row>
    <row r="188">
      <c r="A188" s="29">
        <f>IFERROR(__xludf.DUMMYFUNCTION("""COMPUTED_VALUE"""),184.0)</f>
        <v>184</v>
      </c>
      <c r="B188" s="7" t="str">
        <f>IFERROR(__xludf.DUMMYFUNCTION("""COMPUTED_VALUE"""),"Vor mehr als 30 Tagen")</f>
        <v>Vor mehr als 30 Tagen</v>
      </c>
      <c r="C188" s="7" t="str">
        <f>IFERROR(__xludf.DUMMYFUNCTION("""COMPUTED_VALUE"""),"(Junior) Reporting Engineer / Data Analyst (m/w/d)")</f>
        <v>(Junior) Reporting Engineer / Data Analyst (m/w/d)</v>
      </c>
      <c r="D188" s="7" t="str">
        <f>IFERROR(__xludf.DUMMYFUNCTION("""COMPUTED_VALUE"""),"Deutschland")</f>
        <v>Deutschland</v>
      </c>
      <c r="E188" s="7" t="str">
        <f>IFERROR(__xludf.DUMMYFUNCTION("""COMPUTED_VALUE"""),"mayato GmbH")</f>
        <v>mayato GmbH</v>
      </c>
      <c r="F188" s="7" t="str">
        <f>IFERROR(__xludf.DUMMYFUNCTION("""COMPUTED_VALUE"""),"None")</f>
        <v>None</v>
      </c>
      <c r="G188" s="7" t="str">
        <f>IFERROR(__xludf.DUMMYFUNCTION("""COMPUTED_VALUE"""),"No salary data")</f>
        <v>No salary data</v>
      </c>
      <c r="H188" s="7" t="str">
        <f>IFERROR(__xludf.DUMMYFUNCTION("""COMPUTED_VALUE"""),"No salary data")</f>
        <v>No salary data</v>
      </c>
      <c r="I188" s="7" t="str">
        <f>IFERROR(__xludf.DUMMYFUNCTION("""COMPUTED_VALUE"""),"No salary data")</f>
        <v>No salary data</v>
      </c>
      <c r="J188" s="7" t="str">
        <f>IFERROR(__xludf.DUMMYFUNCTION("""COMPUTED_VALUE"""),"Tableau")</f>
        <v>Tableau</v>
      </c>
      <c r="K188" s="7" t="str">
        <f>IFERROR(__xludf.DUMMYFUNCTION("""COMPUTED_VALUE"""),"No job type data")</f>
        <v>No job type data</v>
      </c>
      <c r="L188" s="7" t="str">
        <f>IFERROR(__xludf.DUMMYFUNCTION("""COMPUTED_VALUE"""),"4,8")</f>
        <v>4,8</v>
      </c>
      <c r="M188" s="7"/>
      <c r="N188" s="7"/>
      <c r="O188" s="7"/>
    </row>
    <row r="189">
      <c r="A189" s="29">
        <f>IFERROR(__xludf.DUMMYFUNCTION("""COMPUTED_VALUE"""),185.0)</f>
        <v>185</v>
      </c>
      <c r="B189" s="7" t="str">
        <f>IFERROR(__xludf.DUMMYFUNCTION("""COMPUTED_VALUE"""),"Vor mehr als 30 Tagen")</f>
        <v>Vor mehr als 30 Tagen</v>
      </c>
      <c r="C189" s="7" t="str">
        <f>IFERROR(__xludf.DUMMYFUNCTION("""COMPUTED_VALUE"""),"Junior Data Engineer (m/w/d)")</f>
        <v>Junior Data Engineer (m/w/d)</v>
      </c>
      <c r="D189" s="7" t="str">
        <f>IFERROR(__xludf.DUMMYFUNCTION("""COMPUTED_VALUE"""),"München")</f>
        <v>München</v>
      </c>
      <c r="E189" s="7" t="str">
        <f>IFERROR(__xludf.DUMMYFUNCTION("""COMPUTED_VALUE"""),"Blue Reply")</f>
        <v>Blue Reply</v>
      </c>
      <c r="F189" s="7" t="str">
        <f>IFERROR(__xludf.DUMMYFUNCTION("""COMPUTED_VALUE"""),"None")</f>
        <v>None</v>
      </c>
      <c r="G189" s="7" t="str">
        <f>IFERROR(__xludf.DUMMYFUNCTION("""COMPUTED_VALUE"""),"No salary data")</f>
        <v>No salary data</v>
      </c>
      <c r="H189" s="7" t="str">
        <f>IFERROR(__xludf.DUMMYFUNCTION("""COMPUTED_VALUE"""),"No salary data")</f>
        <v>No salary data</v>
      </c>
      <c r="I189" s="7" t="str">
        <f>IFERROR(__xludf.DUMMYFUNCTION("""COMPUTED_VALUE"""),"No salary data")</f>
        <v>No salary data</v>
      </c>
      <c r="J189" s="7" t="str">
        <f>IFERROR(__xludf.DUMMYFUNCTION("""COMPUTED_VALUE"""),"Git")</f>
        <v>Git</v>
      </c>
      <c r="K189" s="7" t="str">
        <f>IFERROR(__xludf.DUMMYFUNCTION("""COMPUTED_VALUE"""),"No job type data")</f>
        <v>No job type data</v>
      </c>
      <c r="L189" s="7" t="str">
        <f>IFERROR(__xludf.DUMMYFUNCTION("""COMPUTED_VALUE"""),"None")</f>
        <v>None</v>
      </c>
      <c r="M189" s="7"/>
      <c r="N189" s="7"/>
      <c r="O189" s="7"/>
    </row>
    <row r="190">
      <c r="A190" s="29">
        <f>IFERROR(__xludf.DUMMYFUNCTION("""COMPUTED_VALUE"""),186.0)</f>
        <v>186</v>
      </c>
      <c r="B190" s="7" t="str">
        <f>IFERROR(__xludf.DUMMYFUNCTION("""COMPUTED_VALUE"""),"Vor mehr als 30 Tagen")</f>
        <v>Vor mehr als 30 Tagen</v>
      </c>
      <c r="C190" s="7" t="str">
        <f>IFERROR(__xludf.DUMMYFUNCTION("""COMPUTED_VALUE"""),"Data Engineer – Business Intelligence (f/m/x)")</f>
        <v>Data Engineer – Business Intelligence (f/m/x)</v>
      </c>
      <c r="D190" s="7" t="str">
        <f>IFERROR(__xludf.DUMMYFUNCTION("""COMPUTED_VALUE"""),"Berlin")</f>
        <v>Berlin</v>
      </c>
      <c r="E190" s="7" t="str">
        <f>IFERROR(__xludf.DUMMYFUNCTION("""COMPUTED_VALUE"""),"Tourlane")</f>
        <v>Tourlane</v>
      </c>
      <c r="F190" s="7" t="str">
        <f>IFERROR(__xludf.DUMMYFUNCTION("""COMPUTED_VALUE"""),"None")</f>
        <v>None</v>
      </c>
      <c r="G190" s="7" t="str">
        <f>IFERROR(__xludf.DUMMYFUNCTION("""COMPUTED_VALUE"""),"No salary data")</f>
        <v>No salary data</v>
      </c>
      <c r="H190" s="7" t="str">
        <f>IFERROR(__xludf.DUMMYFUNCTION("""COMPUTED_VALUE"""),"No salary data")</f>
        <v>No salary data</v>
      </c>
      <c r="I190" s="7" t="str">
        <f>IFERROR(__xludf.DUMMYFUNCTION("""COMPUTED_VALUE"""),"No salary data")</f>
        <v>No salary data</v>
      </c>
      <c r="J190" s="7" t="str">
        <f>IFERROR(__xludf.DUMMYFUNCTION("""COMPUTED_VALUE"""),"Python, SQL, Excel, Agile")</f>
        <v>Python, SQL, Excel, Agile</v>
      </c>
      <c r="K190" s="7" t="str">
        <f>IFERROR(__xludf.DUMMYFUNCTION("""COMPUTED_VALUE"""),"No job type data")</f>
        <v>No job type data</v>
      </c>
      <c r="L190" s="7" t="str">
        <f>IFERROR(__xludf.DUMMYFUNCTION("""COMPUTED_VALUE"""),"3,1")</f>
        <v>3,1</v>
      </c>
      <c r="M190" s="7"/>
      <c r="N190" s="7"/>
      <c r="O190" s="7"/>
    </row>
    <row r="191">
      <c r="A191" s="29">
        <f>IFERROR(__xludf.DUMMYFUNCTION("""COMPUTED_VALUE"""),187.0)</f>
        <v>187</v>
      </c>
      <c r="B191" s="7" t="str">
        <f>IFERROR(__xludf.DUMMYFUNCTION("""COMPUTED_VALUE"""),"Vor mehr als 30 Tagen")</f>
        <v>Vor mehr als 30 Tagen</v>
      </c>
      <c r="C191" s="7" t="str">
        <f>IFERROR(__xludf.DUMMYFUNCTION("""COMPUTED_VALUE"""),"Data Analyst mit Schwerpunkt Logistik (m/w/d)")</f>
        <v>Data Analyst mit Schwerpunkt Logistik (m/w/d)</v>
      </c>
      <c r="D191" s="7" t="str">
        <f>IFERROR(__xludf.DUMMYFUNCTION("""COMPUTED_VALUE"""),"Würzburg")</f>
        <v>Würzburg</v>
      </c>
      <c r="E191" s="7" t="str">
        <f>IFERROR(__xludf.DUMMYFUNCTION("""COMPUTED_VALUE"""),"XXXLutz")</f>
        <v>XXXLutz</v>
      </c>
      <c r="F191" s="7" t="str">
        <f>IFERROR(__xludf.DUMMYFUNCTION("""COMPUTED_VALUE"""),"None")</f>
        <v>None</v>
      </c>
      <c r="G191" s="7" t="str">
        <f>IFERROR(__xludf.DUMMYFUNCTION("""COMPUTED_VALUE"""),"No salary data")</f>
        <v>No salary data</v>
      </c>
      <c r="H191" s="7" t="str">
        <f>IFERROR(__xludf.DUMMYFUNCTION("""COMPUTED_VALUE"""),"No salary data")</f>
        <v>No salary data</v>
      </c>
      <c r="I191" s="7" t="str">
        <f>IFERROR(__xludf.DUMMYFUNCTION("""COMPUTED_VALUE"""),"No salary data")</f>
        <v>No salary data</v>
      </c>
      <c r="J191" s="7" t="str">
        <f>IFERROR(__xludf.DUMMYFUNCTION("""COMPUTED_VALUE"""),"SQL, Tableau, Excel")</f>
        <v>SQL, Tableau, Excel</v>
      </c>
      <c r="K191" s="7" t="str">
        <f>IFERROR(__xludf.DUMMYFUNCTION("""COMPUTED_VALUE"""),"No job type data")</f>
        <v>No job type data</v>
      </c>
      <c r="L191" s="7" t="str">
        <f>IFERROR(__xludf.DUMMYFUNCTION("""COMPUTED_VALUE"""),"2,9")</f>
        <v>2,9</v>
      </c>
      <c r="M191" s="7"/>
      <c r="N191" s="7"/>
      <c r="O191" s="7"/>
    </row>
    <row r="192">
      <c r="A192" s="29">
        <f>IFERROR(__xludf.DUMMYFUNCTION("""COMPUTED_VALUE"""),188.0)</f>
        <v>188</v>
      </c>
      <c r="B192" s="7" t="str">
        <f>IFERROR(__xludf.DUMMYFUNCTION("""COMPUTED_VALUE"""),"Vor mehr als 30 Tagen")</f>
        <v>Vor mehr als 30 Tagen</v>
      </c>
      <c r="C192" s="7" t="str">
        <f>IFERROR(__xludf.DUMMYFUNCTION("""COMPUTED_VALUE"""),"Data Analytics")</f>
        <v>Data Analytics</v>
      </c>
      <c r="D192" s="7" t="str">
        <f>IFERROR(__xludf.DUMMYFUNCTION("""COMPUTED_VALUE"""),"Friedrichshafen")</f>
        <v>Friedrichshafen</v>
      </c>
      <c r="E192" s="7" t="str">
        <f>IFERROR(__xludf.DUMMYFUNCTION("""COMPUTED_VALUE"""),"doubleSlash Net-Business GmbH")</f>
        <v>doubleSlash Net-Business GmbH</v>
      </c>
      <c r="F192" s="7" t="str">
        <f>IFERROR(__xludf.DUMMYFUNCTION("""COMPUTED_VALUE"""),"None")</f>
        <v>None</v>
      </c>
      <c r="G192" s="7" t="str">
        <f>IFERROR(__xludf.DUMMYFUNCTION("""COMPUTED_VALUE"""),"No salary data")</f>
        <v>No salary data</v>
      </c>
      <c r="H192" s="7" t="str">
        <f>IFERROR(__xludf.DUMMYFUNCTION("""COMPUTED_VALUE"""),"No salary data")</f>
        <v>No salary data</v>
      </c>
      <c r="I192" s="7" t="str">
        <f>IFERROR(__xludf.DUMMYFUNCTION("""COMPUTED_VALUE"""),"No salary data")</f>
        <v>No salary data</v>
      </c>
      <c r="J192" s="7" t="str">
        <f>IFERROR(__xludf.DUMMYFUNCTION("""COMPUTED_VALUE"""),"Python, Machine Learning, Agile, Scrum")</f>
        <v>Python, Machine Learning, Agile, Scrum</v>
      </c>
      <c r="K192" s="7" t="str">
        <f>IFERROR(__xludf.DUMMYFUNCTION("""COMPUTED_VALUE"""),"No job type data")</f>
        <v>No job type data</v>
      </c>
      <c r="L192" s="7" t="str">
        <f>IFERROR(__xludf.DUMMYFUNCTION("""COMPUTED_VALUE"""),"None")</f>
        <v>None</v>
      </c>
      <c r="M192" s="7"/>
      <c r="N192" s="7"/>
      <c r="O192" s="7"/>
    </row>
    <row r="193">
      <c r="A193" s="29">
        <f>IFERROR(__xludf.DUMMYFUNCTION("""COMPUTED_VALUE"""),189.0)</f>
        <v>189</v>
      </c>
      <c r="B193" s="7" t="str">
        <f>IFERROR(__xludf.DUMMYFUNCTION("""COMPUTED_VALUE"""),"vor 17 Tagen")</f>
        <v>vor 17 Tagen</v>
      </c>
      <c r="C193" s="7" t="str">
        <f>IFERROR(__xludf.DUMMYFUNCTION("""COMPUTED_VALUE"""),"Business Intelligence Analyst (m/w/d)")</f>
        <v>Business Intelligence Analyst (m/w/d)</v>
      </c>
      <c r="D193" s="7" t="str">
        <f>IFERROR(__xludf.DUMMYFUNCTION("""COMPUTED_VALUE"""),"Berlin")</f>
        <v>Berlin</v>
      </c>
      <c r="E193" s="7" t="str">
        <f>IFERROR(__xludf.DUMMYFUNCTION("""COMPUTED_VALUE"""),"Entyre GmbH")</f>
        <v>Entyre GmbH</v>
      </c>
      <c r="F193" s="7" t="str">
        <f>IFERROR(__xludf.DUMMYFUNCTION("""COMPUTED_VALUE"""),"None")</f>
        <v>None</v>
      </c>
      <c r="G193" s="7" t="str">
        <f>IFERROR(__xludf.DUMMYFUNCTION("""COMPUTED_VALUE"""),"No salary data")</f>
        <v>No salary data</v>
      </c>
      <c r="H193" s="7" t="str">
        <f>IFERROR(__xludf.DUMMYFUNCTION("""COMPUTED_VALUE"""),"No salary data")</f>
        <v>No salary data</v>
      </c>
      <c r="I193" s="7" t="str">
        <f>IFERROR(__xludf.DUMMYFUNCTION("""COMPUTED_VALUE"""),"No salary data")</f>
        <v>No salary data</v>
      </c>
      <c r="J193" s="7" t="str">
        <f>IFERROR(__xludf.DUMMYFUNCTION("""COMPUTED_VALUE"""),"SQL, Tableau")</f>
        <v>SQL, Tableau</v>
      </c>
      <c r="K193" s="7" t="str">
        <f>IFERROR(__xludf.DUMMYFUNCTION("""COMPUTED_VALUE"""),"No job type data")</f>
        <v>No job type data</v>
      </c>
      <c r="L193" s="7" t="str">
        <f>IFERROR(__xludf.DUMMYFUNCTION("""COMPUTED_VALUE"""),"None")</f>
        <v>None</v>
      </c>
      <c r="M193" s="7"/>
      <c r="N193" s="7"/>
      <c r="O193" s="7"/>
    </row>
    <row r="194">
      <c r="A194" s="29">
        <f>IFERROR(__xludf.DUMMYFUNCTION("""COMPUTED_VALUE"""),190.0)</f>
        <v>190</v>
      </c>
      <c r="B194" s="7" t="str">
        <f>IFERROR(__xludf.DUMMYFUNCTION("""COMPUTED_VALUE"""),"vor 4 Tagen")</f>
        <v>vor 4 Tagen</v>
      </c>
      <c r="C194" s="7" t="str">
        <f>IFERROR(__xludf.DUMMYFUNCTION("""COMPUTED_VALUE"""),"Data Engineer")</f>
        <v>Data Engineer</v>
      </c>
      <c r="D194" s="7" t="str">
        <f>IFERROR(__xludf.DUMMYFUNCTION("""COMPUTED_VALUE"""),"Dreilinden")</f>
        <v>Dreilinden</v>
      </c>
      <c r="E194" s="7" t="str">
        <f>IFERROR(__xludf.DUMMYFUNCTION("""COMPUTED_VALUE"""),"eBay Inc.")</f>
        <v>eBay Inc.</v>
      </c>
      <c r="F194" s="7" t="str">
        <f>IFERROR(__xludf.DUMMYFUNCTION("""COMPUTED_VALUE"""),"None")</f>
        <v>None</v>
      </c>
      <c r="G194" s="7" t="str">
        <f>IFERROR(__xludf.DUMMYFUNCTION("""COMPUTED_VALUE"""),"No salary data")</f>
        <v>No salary data</v>
      </c>
      <c r="H194" s="7" t="str">
        <f>IFERROR(__xludf.DUMMYFUNCTION("""COMPUTED_VALUE"""),"No salary data")</f>
        <v>No salary data</v>
      </c>
      <c r="I194" s="7" t="str">
        <f>IFERROR(__xludf.DUMMYFUNCTION("""COMPUTED_VALUE"""),"No salary data")</f>
        <v>No salary data</v>
      </c>
      <c r="J194" s="7" t="str">
        <f>IFERROR(__xludf.DUMMYFUNCTION("""COMPUTED_VALUE"""),"SQL, Excel, Linux")</f>
        <v>SQL, Excel, Linux</v>
      </c>
      <c r="K194" s="7" t="str">
        <f>IFERROR(__xludf.DUMMYFUNCTION("""COMPUTED_VALUE"""),"Full-Time")</f>
        <v>Full-Time</v>
      </c>
      <c r="L194" s="7" t="str">
        <f>IFERROR(__xludf.DUMMYFUNCTION("""COMPUTED_VALUE"""),"3,9")</f>
        <v>3,9</v>
      </c>
      <c r="M194" s="7"/>
      <c r="N194" s="7"/>
      <c r="O194" s="7"/>
    </row>
    <row r="195">
      <c r="A195" s="29">
        <f>IFERROR(__xludf.DUMMYFUNCTION("""COMPUTED_VALUE"""),191.0)</f>
        <v>191</v>
      </c>
      <c r="B195" s="7" t="str">
        <f>IFERROR(__xludf.DUMMYFUNCTION("""COMPUTED_VALUE"""),"Vor mehr als 30 Tagen")</f>
        <v>Vor mehr als 30 Tagen</v>
      </c>
      <c r="C195" s="7" t="str">
        <f>IFERROR(__xludf.DUMMYFUNCTION("""COMPUTED_VALUE"""),"Business Intelligence Developer Data Warehouse und Data Anal...")</f>
        <v>Business Intelligence Developer Data Warehouse und Data Anal...</v>
      </c>
      <c r="D195" s="7" t="str">
        <f>IFERROR(__xludf.DUMMYFUNCTION("""COMPUTED_VALUE"""),"Hannover")</f>
        <v>Hannover</v>
      </c>
      <c r="E195" s="7" t="str">
        <f>IFERROR(__xludf.DUMMYFUNCTION("""COMPUTED_VALUE"""),"Hannover Rück")</f>
        <v>Hannover Rück</v>
      </c>
      <c r="F195" s="7" t="str">
        <f>IFERROR(__xludf.DUMMYFUNCTION("""COMPUTED_VALUE"""),"None")</f>
        <v>None</v>
      </c>
      <c r="G195" s="7" t="str">
        <f>IFERROR(__xludf.DUMMYFUNCTION("""COMPUTED_VALUE"""),"No salary data")</f>
        <v>No salary data</v>
      </c>
      <c r="H195" s="7" t="str">
        <f>IFERROR(__xludf.DUMMYFUNCTION("""COMPUTED_VALUE"""),"No salary data")</f>
        <v>No salary data</v>
      </c>
      <c r="I195" s="7" t="str">
        <f>IFERROR(__xludf.DUMMYFUNCTION("""COMPUTED_VALUE"""),"No salary data")</f>
        <v>No salary data</v>
      </c>
      <c r="J195" s="7"/>
      <c r="K195" s="7" t="str">
        <f>IFERROR(__xludf.DUMMYFUNCTION("""COMPUTED_VALUE"""),"No job type data")</f>
        <v>No job type data</v>
      </c>
      <c r="L195" s="7" t="str">
        <f>IFERROR(__xludf.DUMMYFUNCTION("""COMPUTED_VALUE"""),"3,0")</f>
        <v>3,0</v>
      </c>
      <c r="M195" s="7"/>
      <c r="N195" s="7"/>
      <c r="O195" s="7"/>
    </row>
    <row r="196">
      <c r="A196" s="29">
        <f>IFERROR(__xludf.DUMMYFUNCTION("""COMPUTED_VALUE"""),192.0)</f>
        <v>192</v>
      </c>
      <c r="B196" s="7" t="str">
        <f>IFERROR(__xludf.DUMMYFUNCTION("""COMPUTED_VALUE"""),"Vor mehr als 30 Tagen")</f>
        <v>Vor mehr als 30 Tagen</v>
      </c>
      <c r="C196" s="7" t="str">
        <f>IFERROR(__xludf.DUMMYFUNCTION("""COMPUTED_VALUE"""),"Business Intelligence Analyst (f/m/x)")</f>
        <v>Business Intelligence Analyst (f/m/x)</v>
      </c>
      <c r="D196" s="7" t="str">
        <f>IFERROR(__xludf.DUMMYFUNCTION("""COMPUTED_VALUE"""),"Berlin")</f>
        <v>Berlin</v>
      </c>
      <c r="E196" s="7" t="str">
        <f>IFERROR(__xludf.DUMMYFUNCTION("""COMPUTED_VALUE"""),"AUTO1")</f>
        <v>AUTO1</v>
      </c>
      <c r="F196" s="7" t="str">
        <f>IFERROR(__xludf.DUMMYFUNCTION("""COMPUTED_VALUE"""),"None")</f>
        <v>None</v>
      </c>
      <c r="G196" s="7" t="str">
        <f>IFERROR(__xludf.DUMMYFUNCTION("""COMPUTED_VALUE"""),"No salary data")</f>
        <v>No salary data</v>
      </c>
      <c r="H196" s="7" t="str">
        <f>IFERROR(__xludf.DUMMYFUNCTION("""COMPUTED_VALUE"""),"No salary data")</f>
        <v>No salary data</v>
      </c>
      <c r="I196" s="7" t="str">
        <f>IFERROR(__xludf.DUMMYFUNCTION("""COMPUTED_VALUE"""),"No salary data")</f>
        <v>No salary data</v>
      </c>
      <c r="J196" s="7" t="str">
        <f>IFERROR(__xludf.DUMMYFUNCTION("""COMPUTED_VALUE"""),"SQL, Tableau, Statistic, Git")</f>
        <v>SQL, Tableau, Statistic, Git</v>
      </c>
      <c r="K196" s="7" t="str">
        <f>IFERROR(__xludf.DUMMYFUNCTION("""COMPUTED_VALUE"""),"No job type data")</f>
        <v>No job type data</v>
      </c>
      <c r="L196" s="7" t="str">
        <f>IFERROR(__xludf.DUMMYFUNCTION("""COMPUTED_VALUE"""),"3,1")</f>
        <v>3,1</v>
      </c>
      <c r="M196" s="7"/>
      <c r="N196" s="7"/>
      <c r="O196" s="7"/>
    </row>
    <row r="197">
      <c r="A197" s="29">
        <f>IFERROR(__xludf.DUMMYFUNCTION("""COMPUTED_VALUE"""),193.0)</f>
        <v>193</v>
      </c>
      <c r="B197" s="7" t="str">
        <f>IFERROR(__xludf.DUMMYFUNCTION("""COMPUTED_VALUE"""),"vor 4 Tagen")</f>
        <v>vor 4 Tagen</v>
      </c>
      <c r="C197" s="7" t="str">
        <f>IFERROR(__xludf.DUMMYFUNCTION("""COMPUTED_VALUE"""),"Strategic Marketing Analyst (m/f/x)")</f>
        <v>Strategic Marketing Analyst (m/f/x)</v>
      </c>
      <c r="D197" s="7" t="str">
        <f>IFERROR(__xludf.DUMMYFUNCTION("""COMPUTED_VALUE"""),"Bonn")</f>
        <v>Bonn</v>
      </c>
      <c r="E197" s="7" t="str">
        <f>IFERROR(__xludf.DUMMYFUNCTION("""COMPUTED_VALUE"""),"DHL Supply Chain Management GmbH")</f>
        <v>DHL Supply Chain Management GmbH</v>
      </c>
      <c r="F197" s="7" t="str">
        <f>IFERROR(__xludf.DUMMYFUNCTION("""COMPUTED_VALUE"""),"None")</f>
        <v>None</v>
      </c>
      <c r="G197" s="7" t="str">
        <f>IFERROR(__xludf.DUMMYFUNCTION("""COMPUTED_VALUE"""),"No salary data")</f>
        <v>No salary data</v>
      </c>
      <c r="H197" s="7" t="str">
        <f>IFERROR(__xludf.DUMMYFUNCTION("""COMPUTED_VALUE"""),"No salary data")</f>
        <v>No salary data</v>
      </c>
      <c r="I197" s="7" t="str">
        <f>IFERROR(__xludf.DUMMYFUNCTION("""COMPUTED_VALUE"""),"No salary data")</f>
        <v>No salary data</v>
      </c>
      <c r="J197" s="7" t="str">
        <f>IFERROR(__xludf.DUMMYFUNCTION("""COMPUTED_VALUE"""),"Python, Tableau, Excel, Statistic")</f>
        <v>Python, Tableau, Excel, Statistic</v>
      </c>
      <c r="K197" s="7" t="str">
        <f>IFERROR(__xludf.DUMMYFUNCTION("""COMPUTED_VALUE"""),"No job type data")</f>
        <v>No job type data</v>
      </c>
      <c r="L197" s="7" t="str">
        <f>IFERROR(__xludf.DUMMYFUNCTION("""COMPUTED_VALUE"""),"3,7")</f>
        <v>3,7</v>
      </c>
      <c r="M197" s="7"/>
      <c r="N197" s="7"/>
      <c r="O197" s="7"/>
    </row>
    <row r="198">
      <c r="A198" s="29">
        <f>IFERROR(__xludf.DUMMYFUNCTION("""COMPUTED_VALUE"""),194.0)</f>
        <v>194</v>
      </c>
      <c r="B198" s="7" t="str">
        <f>IFERROR(__xludf.DUMMYFUNCTION("""COMPUTED_VALUE"""),"Vor mehr als 30 Tagen")</f>
        <v>Vor mehr als 30 Tagen</v>
      </c>
      <c r="C198" s="7" t="str">
        <f>IFERROR(__xludf.DUMMYFUNCTION("""COMPUTED_VALUE"""),"(Junior) Analytics Expert (m/f/d)")</f>
        <v>(Junior) Analytics Expert (m/f/d)</v>
      </c>
      <c r="D198" s="7" t="str">
        <f>IFERROR(__xludf.DUMMYFUNCTION("""COMPUTED_VALUE"""),"Bad Homburg vor der Höhe")</f>
        <v>Bad Homburg vor der Höhe</v>
      </c>
      <c r="E198" s="7" t="str">
        <f>IFERROR(__xludf.DUMMYFUNCTION("""COMPUTED_VALUE"""),"Fresenius Kabi")</f>
        <v>Fresenius Kabi</v>
      </c>
      <c r="F198" s="7" t="str">
        <f>IFERROR(__xludf.DUMMYFUNCTION("""COMPUTED_VALUE"""),"None")</f>
        <v>None</v>
      </c>
      <c r="G198" s="7" t="str">
        <f>IFERROR(__xludf.DUMMYFUNCTION("""COMPUTED_VALUE"""),"No salary data")</f>
        <v>No salary data</v>
      </c>
      <c r="H198" s="7" t="str">
        <f>IFERROR(__xludf.DUMMYFUNCTION("""COMPUTED_VALUE"""),"No salary data")</f>
        <v>No salary data</v>
      </c>
      <c r="I198" s="7" t="str">
        <f>IFERROR(__xludf.DUMMYFUNCTION("""COMPUTED_VALUE"""),"No salary data")</f>
        <v>No salary data</v>
      </c>
      <c r="J198" s="7" t="str">
        <f>IFERROR(__xludf.DUMMYFUNCTION("""COMPUTED_VALUE"""),"Python, SQL, Excel, Machine Learning")</f>
        <v>Python, SQL, Excel, Machine Learning</v>
      </c>
      <c r="K198" s="7" t="str">
        <f>IFERROR(__xludf.DUMMYFUNCTION("""COMPUTED_VALUE"""),"No job type data")</f>
        <v>No job type data</v>
      </c>
      <c r="L198" s="7" t="str">
        <f>IFERROR(__xludf.DUMMYFUNCTION("""COMPUTED_VALUE"""),"3,7")</f>
        <v>3,7</v>
      </c>
      <c r="M198" s="7"/>
      <c r="N198" s="7"/>
      <c r="O198" s="7"/>
    </row>
    <row r="199">
      <c r="A199" s="29">
        <f>IFERROR(__xludf.DUMMYFUNCTION("""COMPUTED_VALUE"""),195.0)</f>
        <v>195</v>
      </c>
      <c r="B199" s="7" t="str">
        <f>IFERROR(__xludf.DUMMYFUNCTION("""COMPUTED_VALUE"""),"vor 28 Tagen")</f>
        <v>vor 28 Tagen</v>
      </c>
      <c r="C199" s="7" t="str">
        <f>IFERROR(__xludf.DUMMYFUNCTION("""COMPUTED_VALUE"""),"Junior Analyst EU Power &amp; Carbon Markets")</f>
        <v>Junior Analyst EU Power &amp; Carbon Markets</v>
      </c>
      <c r="D199" s="7" t="str">
        <f>IFERROR(__xludf.DUMMYFUNCTION("""COMPUTED_VALUE"""),"Karlsruhe")</f>
        <v>Karlsruhe</v>
      </c>
      <c r="E199" s="7" t="str">
        <f>IFERROR(__xludf.DUMMYFUNCTION("""COMPUTED_VALUE"""),"RELX Group")</f>
        <v>RELX Group</v>
      </c>
      <c r="F199" s="7" t="str">
        <f>IFERROR(__xludf.DUMMYFUNCTION("""COMPUTED_VALUE"""),"None")</f>
        <v>None</v>
      </c>
      <c r="G199" s="7" t="str">
        <f>IFERROR(__xludf.DUMMYFUNCTION("""COMPUTED_VALUE"""),"No salary data")</f>
        <v>No salary data</v>
      </c>
      <c r="H199" s="7" t="str">
        <f>IFERROR(__xludf.DUMMYFUNCTION("""COMPUTED_VALUE"""),"No salary data")</f>
        <v>No salary data</v>
      </c>
      <c r="I199" s="7" t="str">
        <f>IFERROR(__xludf.DUMMYFUNCTION("""COMPUTED_VALUE"""),"No salary data")</f>
        <v>No salary data</v>
      </c>
      <c r="J199" s="7" t="str">
        <f>IFERROR(__xludf.DUMMYFUNCTION("""COMPUTED_VALUE"""),"Python, SQL, Excel")</f>
        <v>Python, SQL, Excel</v>
      </c>
      <c r="K199" s="7" t="str">
        <f>IFERROR(__xludf.DUMMYFUNCTION("""COMPUTED_VALUE"""),"No job type data")</f>
        <v>No job type data</v>
      </c>
      <c r="L199" s="7" t="str">
        <f>IFERROR(__xludf.DUMMYFUNCTION("""COMPUTED_VALUE"""),"None")</f>
        <v>None</v>
      </c>
      <c r="M199" s="7"/>
      <c r="N199" s="7"/>
      <c r="O199" s="7"/>
    </row>
    <row r="200">
      <c r="A200" s="29">
        <f>IFERROR(__xludf.DUMMYFUNCTION("""COMPUTED_VALUE"""),196.0)</f>
        <v>196</v>
      </c>
      <c r="B200" s="7" t="str">
        <f>IFERROR(__xludf.DUMMYFUNCTION("""COMPUTED_VALUE"""),"Vor mehr als 30 Tagen")</f>
        <v>Vor mehr als 30 Tagen</v>
      </c>
      <c r="C200" s="7" t="str">
        <f>IFERROR(__xludf.DUMMYFUNCTION("""COMPUTED_VALUE"""),"Jr Data Scientist")</f>
        <v>Jr Data Scientist</v>
      </c>
      <c r="D200" s="7" t="str">
        <f>IFERROR(__xludf.DUMMYFUNCTION("""COMPUTED_VALUE"""),"Berlin")</f>
        <v>Berlin</v>
      </c>
      <c r="E200" s="7" t="str">
        <f>IFERROR(__xludf.DUMMYFUNCTION("""COMPUTED_VALUE"""),"Quantum Brains")</f>
        <v>Quantum Brains</v>
      </c>
      <c r="F200" s="7" t="str">
        <f>IFERROR(__xludf.DUMMYFUNCTION("""COMPUTED_VALUE"""),"None")</f>
        <v>None</v>
      </c>
      <c r="G200" s="7" t="str">
        <f>IFERROR(__xludf.DUMMYFUNCTION("""COMPUTED_VALUE"""),"No salary data")</f>
        <v>No salary data</v>
      </c>
      <c r="H200" s="7" t="str">
        <f>IFERROR(__xludf.DUMMYFUNCTION("""COMPUTED_VALUE"""),"No salary data")</f>
        <v>No salary data</v>
      </c>
      <c r="I200" s="7" t="str">
        <f>IFERROR(__xludf.DUMMYFUNCTION("""COMPUTED_VALUE"""),"No salary data")</f>
        <v>No salary data</v>
      </c>
      <c r="J200" s="7" t="str">
        <f>IFERROR(__xludf.DUMMYFUNCTION("""COMPUTED_VALUE"""),"Python, Machine Learning, Statistic, Git, Linux")</f>
        <v>Python, Machine Learning, Statistic, Git, Linux</v>
      </c>
      <c r="K200" s="7" t="str">
        <f>IFERROR(__xludf.DUMMYFUNCTION("""COMPUTED_VALUE"""),"No job type data")</f>
        <v>No job type data</v>
      </c>
      <c r="L200" s="7" t="str">
        <f>IFERROR(__xludf.DUMMYFUNCTION("""COMPUTED_VALUE"""),"None")</f>
        <v>None</v>
      </c>
      <c r="M200" s="7"/>
      <c r="N200" s="7"/>
      <c r="O200" s="7"/>
    </row>
    <row r="201">
      <c r="A201" s="29">
        <f>IFERROR(__xludf.DUMMYFUNCTION("""COMPUTED_VALUE"""),197.0)</f>
        <v>197</v>
      </c>
      <c r="B201" s="7" t="str">
        <f>IFERROR(__xludf.DUMMYFUNCTION("""COMPUTED_VALUE"""),"Vor mehr als 30 Tagen")</f>
        <v>Vor mehr als 30 Tagen</v>
      </c>
      <c r="C201" s="7" t="str">
        <f>IFERROR(__xludf.DUMMYFUNCTION("""COMPUTED_VALUE"""),"(Junior) Consultant Business Intelligence (m/w/d) Österreich")</f>
        <v>(Junior) Consultant Business Intelligence (m/w/d) Österreich</v>
      </c>
      <c r="D201" s="7" t="str">
        <f>IFERROR(__xludf.DUMMYFUNCTION("""COMPUTED_VALUE"""),"Deutschland")</f>
        <v>Deutschland</v>
      </c>
      <c r="E201" s="7" t="str">
        <f>IFERROR(__xludf.DUMMYFUNCTION("""COMPUTED_VALUE"""),"mayato GmbH")</f>
        <v>mayato GmbH</v>
      </c>
      <c r="F201" s="7" t="str">
        <f>IFERROR(__xludf.DUMMYFUNCTION("""COMPUTED_VALUE"""),"3,068 € pro Monat")</f>
        <v>3,068 € pro Monat</v>
      </c>
      <c r="G201" s="7">
        <f>IFERROR(__xludf.DUMMYFUNCTION("""COMPUTED_VALUE"""),3068.0)</f>
        <v>3068</v>
      </c>
      <c r="H201" s="7" t="str">
        <f>IFERROR(__xludf.DUMMYFUNCTION("""COMPUTED_VALUE"""),"Monat")</f>
        <v>Monat</v>
      </c>
      <c r="I201" s="7">
        <f>IFERROR(__xludf.DUMMYFUNCTION("""COMPUTED_VALUE"""),36816.0)</f>
        <v>36816</v>
      </c>
      <c r="J201" s="7" t="str">
        <f>IFERROR(__xludf.DUMMYFUNCTION("""COMPUTED_VALUE"""),"Python, SQL")</f>
        <v>Python, SQL</v>
      </c>
      <c r="K201" s="7" t="str">
        <f>IFERROR(__xludf.DUMMYFUNCTION("""COMPUTED_VALUE"""),"No job type data")</f>
        <v>No job type data</v>
      </c>
      <c r="L201" s="7" t="str">
        <f>IFERROR(__xludf.DUMMYFUNCTION("""COMPUTED_VALUE"""),"4,8")</f>
        <v>4,8</v>
      </c>
      <c r="M201" s="7"/>
      <c r="N201" s="7"/>
      <c r="O201" s="7"/>
    </row>
    <row r="202">
      <c r="A202" s="29">
        <f>IFERROR(__xludf.DUMMYFUNCTION("""COMPUTED_VALUE"""),198.0)</f>
        <v>198</v>
      </c>
      <c r="B202" s="7" t="str">
        <f>IFERROR(__xludf.DUMMYFUNCTION("""COMPUTED_VALUE"""),"vor 10 Tagen")</f>
        <v>vor 10 Tagen</v>
      </c>
      <c r="C202" s="7" t="str">
        <f>IFERROR(__xludf.DUMMYFUNCTION("""COMPUTED_VALUE"""),"Junior Analyst, Professional Services (Graduate)")</f>
        <v>Junior Analyst, Professional Services (Graduate)</v>
      </c>
      <c r="D202" s="7" t="str">
        <f>IFERROR(__xludf.DUMMYFUNCTION("""COMPUTED_VALUE"""),"München")</f>
        <v>München</v>
      </c>
      <c r="E202" s="7" t="str">
        <f>IFERROR(__xludf.DUMMYFUNCTION("""COMPUTED_VALUE"""),"Medallia, Inc.")</f>
        <v>Medallia, Inc.</v>
      </c>
      <c r="F202" s="7" t="str">
        <f>IFERROR(__xludf.DUMMYFUNCTION("""COMPUTED_VALUE"""),"None")</f>
        <v>None</v>
      </c>
      <c r="G202" s="7" t="str">
        <f>IFERROR(__xludf.DUMMYFUNCTION("""COMPUTED_VALUE"""),"No salary data")</f>
        <v>No salary data</v>
      </c>
      <c r="H202" s="7" t="str">
        <f>IFERROR(__xludf.DUMMYFUNCTION("""COMPUTED_VALUE"""),"No salary data")</f>
        <v>No salary data</v>
      </c>
      <c r="I202" s="7" t="str">
        <f>IFERROR(__xludf.DUMMYFUNCTION("""COMPUTED_VALUE"""),"No salary data")</f>
        <v>No salary data</v>
      </c>
      <c r="J202" s="7" t="str">
        <f>IFERROR(__xludf.DUMMYFUNCTION("""COMPUTED_VALUE"""),"Excel")</f>
        <v>Excel</v>
      </c>
      <c r="K202" s="7" t="str">
        <f>IFERROR(__xludf.DUMMYFUNCTION("""COMPUTED_VALUE"""),"No job type data")</f>
        <v>No job type data</v>
      </c>
      <c r="L202" s="7" t="str">
        <f>IFERROR(__xludf.DUMMYFUNCTION("""COMPUTED_VALUE"""),"None")</f>
        <v>None</v>
      </c>
      <c r="M202" s="7"/>
      <c r="N202" s="7"/>
      <c r="O202" s="7"/>
    </row>
    <row r="203">
      <c r="A203" s="29">
        <f>IFERROR(__xludf.DUMMYFUNCTION("""COMPUTED_VALUE"""),199.0)</f>
        <v>199</v>
      </c>
      <c r="B203" s="7" t="str">
        <f>IFERROR(__xludf.DUMMYFUNCTION("""COMPUTED_VALUE"""),"vor 13 Tagen")</f>
        <v>vor 13 Tagen</v>
      </c>
      <c r="C203" s="7" t="str">
        <f>IFERROR(__xludf.DUMMYFUNCTION("""COMPUTED_VALUE"""),"Data Scientist (m/w/d)")</f>
        <v>Data Scientist (m/w/d)</v>
      </c>
      <c r="D203" s="7" t="str">
        <f>IFERROR(__xludf.DUMMYFUNCTION("""COMPUTED_VALUE"""),"Allendorf")</f>
        <v>Allendorf</v>
      </c>
      <c r="E203" s="7" t="str">
        <f>IFERROR(__xludf.DUMMYFUNCTION("""COMPUTED_VALUE"""),"GP One GmbH")</f>
        <v>GP One GmbH</v>
      </c>
      <c r="F203" s="7" t="str">
        <f>IFERROR(__xludf.DUMMYFUNCTION("""COMPUTED_VALUE"""),"None")</f>
        <v>None</v>
      </c>
      <c r="G203" s="7" t="str">
        <f>IFERROR(__xludf.DUMMYFUNCTION("""COMPUTED_VALUE"""),"No salary data")</f>
        <v>No salary data</v>
      </c>
      <c r="H203" s="7" t="str">
        <f>IFERROR(__xludf.DUMMYFUNCTION("""COMPUTED_VALUE"""),"No salary data")</f>
        <v>No salary data</v>
      </c>
      <c r="I203" s="7" t="str">
        <f>IFERROR(__xludf.DUMMYFUNCTION("""COMPUTED_VALUE"""),"No salary data")</f>
        <v>No salary data</v>
      </c>
      <c r="J203" s="7"/>
      <c r="K203" s="7" t="str">
        <f>IFERROR(__xludf.DUMMYFUNCTION("""COMPUTED_VALUE"""),"No job type data")</f>
        <v>No job type data</v>
      </c>
      <c r="L203" s="7" t="str">
        <f>IFERROR(__xludf.DUMMYFUNCTION("""COMPUTED_VALUE"""),"None")</f>
        <v>None</v>
      </c>
      <c r="M203" s="7"/>
      <c r="N203" s="7"/>
      <c r="O203" s="7"/>
    </row>
    <row r="204">
      <c r="A204" s="29">
        <f>IFERROR(__xludf.DUMMYFUNCTION("""COMPUTED_VALUE"""),200.0)</f>
        <v>200</v>
      </c>
      <c r="B204" s="7" t="str">
        <f>IFERROR(__xludf.DUMMYFUNCTION("""COMPUTED_VALUE"""),"vor 14 Tagen")</f>
        <v>vor 14 Tagen</v>
      </c>
      <c r="C204" s="7" t="str">
        <f>IFERROR(__xludf.DUMMYFUNCTION("""COMPUTED_VALUE"""),"Junior Data Engineer (w/m/d)")</f>
        <v>Junior Data Engineer (w/m/d)</v>
      </c>
      <c r="D204" s="7" t="str">
        <f>IFERROR(__xludf.DUMMYFUNCTION("""COMPUTED_VALUE"""),"Hamburg")</f>
        <v>Hamburg</v>
      </c>
      <c r="E204" s="7" t="str">
        <f>IFERROR(__xludf.DUMMYFUNCTION("""COMPUTED_VALUE"""),"Otto Group Holding")</f>
        <v>Otto Group Holding</v>
      </c>
      <c r="F204" s="7" t="str">
        <f>IFERROR(__xludf.DUMMYFUNCTION("""COMPUTED_VALUE"""),"None")</f>
        <v>None</v>
      </c>
      <c r="G204" s="7" t="str">
        <f>IFERROR(__xludf.DUMMYFUNCTION("""COMPUTED_VALUE"""),"No salary data")</f>
        <v>No salary data</v>
      </c>
      <c r="H204" s="7" t="str">
        <f>IFERROR(__xludf.DUMMYFUNCTION("""COMPUTED_VALUE"""),"No salary data")</f>
        <v>No salary data</v>
      </c>
      <c r="I204" s="7" t="str">
        <f>IFERROR(__xludf.DUMMYFUNCTION("""COMPUTED_VALUE"""),"No salary data")</f>
        <v>No salary data</v>
      </c>
      <c r="J204" s="7" t="str">
        <f>IFERROR(__xludf.DUMMYFUNCTION("""COMPUTED_VALUE"""),"Python, SQL, Git")</f>
        <v>Python, SQL, Git</v>
      </c>
      <c r="K204" s="7" t="str">
        <f>IFERROR(__xludf.DUMMYFUNCTION("""COMPUTED_VALUE"""),"No job type data")</f>
        <v>No job type data</v>
      </c>
      <c r="L204" s="7" t="str">
        <f>IFERROR(__xludf.DUMMYFUNCTION("""COMPUTED_VALUE"""),"None")</f>
        <v>None</v>
      </c>
      <c r="M204" s="7"/>
      <c r="N204" s="7"/>
      <c r="O204" s="7"/>
    </row>
    <row r="205">
      <c r="A205" s="29">
        <f>IFERROR(__xludf.DUMMYFUNCTION("""COMPUTED_VALUE"""),201.0)</f>
        <v>201</v>
      </c>
      <c r="B205" s="7" t="str">
        <f>IFERROR(__xludf.DUMMYFUNCTION("""COMPUTED_VALUE"""),"Vor mehr als 30 Tagen")</f>
        <v>Vor mehr als 30 Tagen</v>
      </c>
      <c r="C205" s="7" t="str">
        <f>IFERROR(__xludf.DUMMYFUNCTION("""COMPUTED_VALUE"""),"Data Engineer - EU Workforce Staffing team")</f>
        <v>Data Engineer - EU Workforce Staffing team</v>
      </c>
      <c r="D205" s="7" t="str">
        <f>IFERROR(__xludf.DUMMYFUNCTION("""COMPUTED_VALUE"""),"Berlin")</f>
        <v>Berlin</v>
      </c>
      <c r="E205" s="7" t="str">
        <f>IFERROR(__xludf.DUMMYFUNCTION("""COMPUTED_VALUE"""),"Amazon Logistik Potsdam GmbH")</f>
        <v>Amazon Logistik Potsdam GmbH</v>
      </c>
      <c r="F205" s="7" t="str">
        <f>IFERROR(__xludf.DUMMYFUNCTION("""COMPUTED_VALUE"""),"None")</f>
        <v>None</v>
      </c>
      <c r="G205" s="7" t="str">
        <f>IFERROR(__xludf.DUMMYFUNCTION("""COMPUTED_VALUE"""),"No salary data")</f>
        <v>No salary data</v>
      </c>
      <c r="H205" s="7" t="str">
        <f>IFERROR(__xludf.DUMMYFUNCTION("""COMPUTED_VALUE"""),"No salary data")</f>
        <v>No salary data</v>
      </c>
      <c r="I205" s="7" t="str">
        <f>IFERROR(__xludf.DUMMYFUNCTION("""COMPUTED_VALUE"""),"No salary data")</f>
        <v>No salary data</v>
      </c>
      <c r="J205" s="7" t="str">
        <f>IFERROR(__xludf.DUMMYFUNCTION("""COMPUTED_VALUE"""),"Python, SQL, Excel, Deep Learning")</f>
        <v>Python, SQL, Excel, Deep Learning</v>
      </c>
      <c r="K205" s="7" t="str">
        <f>IFERROR(__xludf.DUMMYFUNCTION("""COMPUTED_VALUE"""),"No job type data")</f>
        <v>No job type data</v>
      </c>
      <c r="L205" s="7" t="str">
        <f>IFERROR(__xludf.DUMMYFUNCTION("""COMPUTED_VALUE"""),"3,6")</f>
        <v>3,6</v>
      </c>
      <c r="M205" s="7"/>
      <c r="N205" s="7"/>
      <c r="O205" s="7"/>
    </row>
    <row r="206">
      <c r="A206" s="29">
        <f>IFERROR(__xludf.DUMMYFUNCTION("""COMPUTED_VALUE"""),202.0)</f>
        <v>202</v>
      </c>
      <c r="B206" s="7" t="str">
        <f>IFERROR(__xludf.DUMMYFUNCTION("""COMPUTED_VALUE"""),"vor 5 Tagen")</f>
        <v>vor 5 Tagen</v>
      </c>
      <c r="C206" s="7" t="str">
        <f>IFERROR(__xludf.DUMMYFUNCTION("""COMPUTED_VALUE"""),"Trainee Data Analytics &amp; AI - Digital Operations (w/m/d)")</f>
        <v>Trainee Data Analytics &amp; AI - Digital Operations (w/m/d)</v>
      </c>
      <c r="D206" s="7" t="str">
        <f>IFERROR(__xludf.DUMMYFUNCTION("""COMPUTED_VALUE"""),"Deutschland")</f>
        <v>Deutschland</v>
      </c>
      <c r="E206" s="7" t="str">
        <f>IFERROR(__xludf.DUMMYFUNCTION("""COMPUTED_VALUE"""),"PwC")</f>
        <v>PwC</v>
      </c>
      <c r="F206" s="7" t="str">
        <f>IFERROR(__xludf.DUMMYFUNCTION("""COMPUTED_VALUE"""),"None")</f>
        <v>None</v>
      </c>
      <c r="G206" s="7" t="str">
        <f>IFERROR(__xludf.DUMMYFUNCTION("""COMPUTED_VALUE"""),"No salary data")</f>
        <v>No salary data</v>
      </c>
      <c r="H206" s="7" t="str">
        <f>IFERROR(__xludf.DUMMYFUNCTION("""COMPUTED_VALUE"""),"No salary data")</f>
        <v>No salary data</v>
      </c>
      <c r="I206" s="7" t="str">
        <f>IFERROR(__xludf.DUMMYFUNCTION("""COMPUTED_VALUE"""),"No salary data")</f>
        <v>No salary data</v>
      </c>
      <c r="J206" s="7" t="str">
        <f>IFERROR(__xludf.DUMMYFUNCTION("""COMPUTED_VALUE"""),"Python, Machine Learning, Git")</f>
        <v>Python, Machine Learning, Git</v>
      </c>
      <c r="K206" s="7" t="str">
        <f>IFERROR(__xludf.DUMMYFUNCTION("""COMPUTED_VALUE"""),"No job type data")</f>
        <v>No job type data</v>
      </c>
      <c r="L206" s="7" t="str">
        <f>IFERROR(__xludf.DUMMYFUNCTION("""COMPUTED_VALUE"""),"4,0")</f>
        <v>4,0</v>
      </c>
      <c r="M206" s="7"/>
      <c r="N206" s="7"/>
      <c r="O206" s="7"/>
    </row>
    <row r="207">
      <c r="A207" s="29">
        <f>IFERROR(__xludf.DUMMYFUNCTION("""COMPUTED_VALUE"""),203.0)</f>
        <v>203</v>
      </c>
      <c r="B207" s="7" t="str">
        <f>IFERROR(__xludf.DUMMYFUNCTION("""COMPUTED_VALUE"""),"Vor mehr als 30 Tagen")</f>
        <v>Vor mehr als 30 Tagen</v>
      </c>
      <c r="C207" s="7" t="str">
        <f>IFERROR(__xludf.DUMMYFUNCTION("""COMPUTED_VALUE"""),"Data Analyst - Product BI (f/m/d)")</f>
        <v>Data Analyst - Product BI (f/m/d)</v>
      </c>
      <c r="D207" s="7" t="str">
        <f>IFERROR(__xludf.DUMMYFUNCTION("""COMPUTED_VALUE"""),"Berlin")</f>
        <v>Berlin</v>
      </c>
      <c r="E207" s="7" t="str">
        <f>IFERROR(__xludf.DUMMYFUNCTION("""COMPUTED_VALUE"""),"Delivery Hero")</f>
        <v>Delivery Hero</v>
      </c>
      <c r="F207" s="7" t="str">
        <f>IFERROR(__xludf.DUMMYFUNCTION("""COMPUTED_VALUE"""),"None")</f>
        <v>None</v>
      </c>
      <c r="G207" s="7" t="str">
        <f>IFERROR(__xludf.DUMMYFUNCTION("""COMPUTED_VALUE"""),"No salary data")</f>
        <v>No salary data</v>
      </c>
      <c r="H207" s="7" t="str">
        <f>IFERROR(__xludf.DUMMYFUNCTION("""COMPUTED_VALUE"""),"No salary data")</f>
        <v>No salary data</v>
      </c>
      <c r="I207" s="7" t="str">
        <f>IFERROR(__xludf.DUMMYFUNCTION("""COMPUTED_VALUE"""),"No salary data")</f>
        <v>No salary data</v>
      </c>
      <c r="J207" s="7" t="str">
        <f>IFERROR(__xludf.DUMMYFUNCTION("""COMPUTED_VALUE"""),"SQL, Tableau, Git")</f>
        <v>SQL, Tableau, Git</v>
      </c>
      <c r="K207" s="7" t="str">
        <f>IFERROR(__xludf.DUMMYFUNCTION("""COMPUTED_VALUE"""),"No job type data")</f>
        <v>No job type data</v>
      </c>
      <c r="L207" s="7" t="str">
        <f>IFERROR(__xludf.DUMMYFUNCTION("""COMPUTED_VALUE"""),"3,7")</f>
        <v>3,7</v>
      </c>
      <c r="M207" s="7"/>
      <c r="N207" s="7"/>
      <c r="O207" s="7"/>
    </row>
    <row r="208">
      <c r="A208" s="29">
        <f>IFERROR(__xludf.DUMMYFUNCTION("""COMPUTED_VALUE"""),204.0)</f>
        <v>204</v>
      </c>
      <c r="B208" s="7" t="str">
        <f>IFERROR(__xludf.DUMMYFUNCTION("""COMPUTED_VALUE"""),"Vor mehr als 30 Tagen")</f>
        <v>Vor mehr als 30 Tagen</v>
      </c>
      <c r="C208" s="7" t="str">
        <f>IFERROR(__xludf.DUMMYFUNCTION("""COMPUTED_VALUE"""),"Praktikum - Makers Garage (Data Science &amp; Analytics)")</f>
        <v>Praktikum - Makers Garage (Data Science &amp; Analytics)</v>
      </c>
      <c r="D208" s="7" t="str">
        <f>IFERROR(__xludf.DUMMYFUNCTION("""COMPUTED_VALUE"""),"Hamburg")</f>
        <v>Hamburg</v>
      </c>
      <c r="E208" s="7" t="str">
        <f>IFERROR(__xludf.DUMMYFUNCTION("""COMPUTED_VALUE"""),"Continental AG")</f>
        <v>Continental AG</v>
      </c>
      <c r="F208" s="7" t="str">
        <f>IFERROR(__xludf.DUMMYFUNCTION("""COMPUTED_VALUE"""),"None")</f>
        <v>None</v>
      </c>
      <c r="G208" s="7" t="str">
        <f>IFERROR(__xludf.DUMMYFUNCTION("""COMPUTED_VALUE"""),"No salary data")</f>
        <v>No salary data</v>
      </c>
      <c r="H208" s="7" t="str">
        <f>IFERROR(__xludf.DUMMYFUNCTION("""COMPUTED_VALUE"""),"No salary data")</f>
        <v>No salary data</v>
      </c>
      <c r="I208" s="7" t="str">
        <f>IFERROR(__xludf.DUMMYFUNCTION("""COMPUTED_VALUE"""),"No salary data")</f>
        <v>No salary data</v>
      </c>
      <c r="J208" s="7" t="str">
        <f>IFERROR(__xludf.DUMMYFUNCTION("""COMPUTED_VALUE"""),"Python, SQL, Git")</f>
        <v>Python, SQL, Git</v>
      </c>
      <c r="K208" s="7" t="str">
        <f>IFERROR(__xludf.DUMMYFUNCTION("""COMPUTED_VALUE"""),"No job type data")</f>
        <v>No job type data</v>
      </c>
      <c r="L208" s="7" t="str">
        <f>IFERROR(__xludf.DUMMYFUNCTION("""COMPUTED_VALUE"""),"4,0")</f>
        <v>4,0</v>
      </c>
      <c r="M208" s="7"/>
      <c r="N208" s="7"/>
      <c r="O208" s="7"/>
    </row>
    <row r="209">
      <c r="A209" s="29">
        <f>IFERROR(__xludf.DUMMYFUNCTION("""COMPUTED_VALUE"""),205.0)</f>
        <v>205</v>
      </c>
      <c r="B209" s="7" t="str">
        <f>IFERROR(__xludf.DUMMYFUNCTION("""COMPUTED_VALUE"""),"vor 2 Tagen")</f>
        <v>vor 2 Tagen</v>
      </c>
      <c r="C209" s="7" t="str">
        <f>IFERROR(__xludf.DUMMYFUNCTION("""COMPUTED_VALUE"""),"Data Engineer (m/w/d)")</f>
        <v>Data Engineer (m/w/d)</v>
      </c>
      <c r="D209" s="7" t="str">
        <f>IFERROR(__xludf.DUMMYFUNCTION("""COMPUTED_VALUE"""),"Göttingen")</f>
        <v>Göttingen</v>
      </c>
      <c r="E209" s="7" t="str">
        <f>IFERROR(__xludf.DUMMYFUNCTION("""COMPUTED_VALUE"""),"Sartorius Corporation")</f>
        <v>Sartorius Corporation</v>
      </c>
      <c r="F209" s="7" t="str">
        <f>IFERROR(__xludf.DUMMYFUNCTION("""COMPUTED_VALUE"""),"None")</f>
        <v>None</v>
      </c>
      <c r="G209" s="7" t="str">
        <f>IFERROR(__xludf.DUMMYFUNCTION("""COMPUTED_VALUE"""),"No salary data")</f>
        <v>No salary data</v>
      </c>
      <c r="H209" s="7" t="str">
        <f>IFERROR(__xludf.DUMMYFUNCTION("""COMPUTED_VALUE"""),"No salary data")</f>
        <v>No salary data</v>
      </c>
      <c r="I209" s="7" t="str">
        <f>IFERROR(__xludf.DUMMYFUNCTION("""COMPUTED_VALUE"""),"No salary data")</f>
        <v>No salary data</v>
      </c>
      <c r="J209" s="7" t="str">
        <f>IFERROR(__xludf.DUMMYFUNCTION("""COMPUTED_VALUE"""),"SQL, Agile")</f>
        <v>SQL, Agile</v>
      </c>
      <c r="K209" s="7" t="str">
        <f>IFERROR(__xludf.DUMMYFUNCTION("""COMPUTED_VALUE"""),"Full Time")</f>
        <v>Full Time</v>
      </c>
      <c r="L209" s="7" t="str">
        <f>IFERROR(__xludf.DUMMYFUNCTION("""COMPUTED_VALUE"""),"3,7")</f>
        <v>3,7</v>
      </c>
      <c r="M209" s="7"/>
      <c r="N209" s="7"/>
      <c r="O209" s="7"/>
    </row>
    <row r="210">
      <c r="A210" s="29">
        <f>IFERROR(__xludf.DUMMYFUNCTION("""COMPUTED_VALUE"""),206.0)</f>
        <v>206</v>
      </c>
      <c r="B210" s="7" t="str">
        <f>IFERROR(__xludf.DUMMYFUNCTION("""COMPUTED_VALUE"""),"vor 24 Tagen")</f>
        <v>vor 24 Tagen</v>
      </c>
      <c r="C210" s="7" t="str">
        <f>IFERROR(__xludf.DUMMYFUNCTION("""COMPUTED_VALUE"""),"Customer Data Architect (m/w/d) im Bereich IT Data &amp; Analyti...")</f>
        <v>Customer Data Architect (m/w/d) im Bereich IT Data &amp; Analyti...</v>
      </c>
      <c r="D210" s="7" t="str">
        <f>IFERROR(__xludf.DUMMYFUNCTION("""COMPUTED_VALUE"""),"Sankt Wendel")</f>
        <v>Sankt Wendel</v>
      </c>
      <c r="E210" s="7" t="str">
        <f>IFERROR(__xludf.DUMMYFUNCTION("""COMPUTED_VALUE"""),"Globus Koordination")</f>
        <v>Globus Koordination</v>
      </c>
      <c r="F210" s="7" t="str">
        <f>IFERROR(__xludf.DUMMYFUNCTION("""COMPUTED_VALUE"""),"None")</f>
        <v>None</v>
      </c>
      <c r="G210" s="7" t="str">
        <f>IFERROR(__xludf.DUMMYFUNCTION("""COMPUTED_VALUE"""),"No salary data")</f>
        <v>No salary data</v>
      </c>
      <c r="H210" s="7" t="str">
        <f>IFERROR(__xludf.DUMMYFUNCTION("""COMPUTED_VALUE"""),"No salary data")</f>
        <v>No salary data</v>
      </c>
      <c r="I210" s="7" t="str">
        <f>IFERROR(__xludf.DUMMYFUNCTION("""COMPUTED_VALUE"""),"No salary data")</f>
        <v>No salary data</v>
      </c>
      <c r="J210" s="7" t="str">
        <f>IFERROR(__xludf.DUMMYFUNCTION("""COMPUTED_VALUE"""),"SQL, Excel, Linux")</f>
        <v>SQL, Excel, Linux</v>
      </c>
      <c r="K210" s="7" t="str">
        <f>IFERROR(__xludf.DUMMYFUNCTION("""COMPUTED_VALUE"""),"No job type data")</f>
        <v>No job type data</v>
      </c>
      <c r="L210" s="7" t="str">
        <f>IFERROR(__xludf.DUMMYFUNCTION("""COMPUTED_VALUE"""),"None")</f>
        <v>None</v>
      </c>
      <c r="M210" s="7"/>
      <c r="N210" s="7"/>
      <c r="O210" s="7"/>
    </row>
    <row r="211">
      <c r="A211" s="29">
        <f>IFERROR(__xludf.DUMMYFUNCTION("""COMPUTED_VALUE"""),207.0)</f>
        <v>207</v>
      </c>
      <c r="B211" s="7" t="str">
        <f>IFERROR(__xludf.DUMMYFUNCTION("""COMPUTED_VALUE"""),"Vor mehr als 30 Tagen")</f>
        <v>Vor mehr als 30 Tagen</v>
      </c>
      <c r="C211" s="7" t="str">
        <f>IFERROR(__xludf.DUMMYFUNCTION("""COMPUTED_VALUE"""),"Data Centre Engineer (m/f/d) – Career Transition Programme")</f>
        <v>Data Centre Engineer (m/f/d) – Career Transition Programme</v>
      </c>
      <c r="D211" s="7" t="str">
        <f>IFERROR(__xludf.DUMMYFUNCTION("""COMPUTED_VALUE"""),"Frankfurt am Main")</f>
        <v>Frankfurt am Main</v>
      </c>
      <c r="E211" s="7" t="str">
        <f>IFERROR(__xludf.DUMMYFUNCTION("""COMPUTED_VALUE"""),"Equinix")</f>
        <v>Equinix</v>
      </c>
      <c r="F211" s="7" t="str">
        <f>IFERROR(__xludf.DUMMYFUNCTION("""COMPUTED_VALUE"""),"None")</f>
        <v>None</v>
      </c>
      <c r="G211" s="7" t="str">
        <f>IFERROR(__xludf.DUMMYFUNCTION("""COMPUTED_VALUE"""),"No salary data")</f>
        <v>No salary data</v>
      </c>
      <c r="H211" s="7" t="str">
        <f>IFERROR(__xludf.DUMMYFUNCTION("""COMPUTED_VALUE"""),"No salary data")</f>
        <v>No salary data</v>
      </c>
      <c r="I211" s="7" t="str">
        <f>IFERROR(__xludf.DUMMYFUNCTION("""COMPUTED_VALUE"""),"No salary data")</f>
        <v>No salary data</v>
      </c>
      <c r="J211" s="7"/>
      <c r="K211" s="7" t="str">
        <f>IFERROR(__xludf.DUMMYFUNCTION("""COMPUTED_VALUE"""),"No job type data")</f>
        <v>No job type data</v>
      </c>
      <c r="L211" s="7" t="str">
        <f>IFERROR(__xludf.DUMMYFUNCTION("""COMPUTED_VALUE"""),"3,8")</f>
        <v>3,8</v>
      </c>
      <c r="M211" s="7"/>
      <c r="N211" s="7"/>
      <c r="O211" s="7"/>
    </row>
    <row r="212">
      <c r="A212" s="29">
        <f>IFERROR(__xludf.DUMMYFUNCTION("""COMPUTED_VALUE"""),208.0)</f>
        <v>208</v>
      </c>
      <c r="B212" s="7" t="str">
        <f>IFERROR(__xludf.DUMMYFUNCTION("""COMPUTED_VALUE"""),"Vor mehr als 30 Tagen")</f>
        <v>Vor mehr als 30 Tagen</v>
      </c>
      <c r="C212" s="7" t="str">
        <f>IFERROR(__xludf.DUMMYFUNCTION("""COMPUTED_VALUE"""),"Data Analyst")</f>
        <v>Data Analyst</v>
      </c>
      <c r="D212" s="7" t="str">
        <f>IFERROR(__xludf.DUMMYFUNCTION("""COMPUTED_VALUE"""),"Berlin")</f>
        <v>Berlin</v>
      </c>
      <c r="E212" s="7" t="str">
        <f>IFERROR(__xludf.DUMMYFUNCTION("""COMPUTED_VALUE"""),"PeopleDoc - Berlin")</f>
        <v>PeopleDoc - Berlin</v>
      </c>
      <c r="F212" s="7" t="str">
        <f>IFERROR(__xludf.DUMMYFUNCTION("""COMPUTED_VALUE"""),"None")</f>
        <v>None</v>
      </c>
      <c r="G212" s="7" t="str">
        <f>IFERROR(__xludf.DUMMYFUNCTION("""COMPUTED_VALUE"""),"No salary data")</f>
        <v>No salary data</v>
      </c>
      <c r="H212" s="7" t="str">
        <f>IFERROR(__xludf.DUMMYFUNCTION("""COMPUTED_VALUE"""),"No salary data")</f>
        <v>No salary data</v>
      </c>
      <c r="I212" s="7" t="str">
        <f>IFERROR(__xludf.DUMMYFUNCTION("""COMPUTED_VALUE"""),"No salary data")</f>
        <v>No salary data</v>
      </c>
      <c r="J212" s="7" t="str">
        <f>IFERROR(__xludf.DUMMYFUNCTION("""COMPUTED_VALUE"""),"SQL, Tableau, Agile")</f>
        <v>SQL, Tableau, Agile</v>
      </c>
      <c r="K212" s="7" t="str">
        <f>IFERROR(__xludf.DUMMYFUNCTION("""COMPUTED_VALUE"""),"No job type data")</f>
        <v>No job type data</v>
      </c>
      <c r="L212" s="7" t="str">
        <f>IFERROR(__xludf.DUMMYFUNCTION("""COMPUTED_VALUE"""),"None")</f>
        <v>None</v>
      </c>
      <c r="M212" s="7"/>
      <c r="N212" s="7"/>
      <c r="O212" s="7"/>
    </row>
    <row r="213">
      <c r="A213" s="29">
        <f>IFERROR(__xludf.DUMMYFUNCTION("""COMPUTED_VALUE"""),209.0)</f>
        <v>209</v>
      </c>
      <c r="B213" s="7" t="str">
        <f>IFERROR(__xludf.DUMMYFUNCTION("""COMPUTED_VALUE"""),"vor 17 Tagen")</f>
        <v>vor 17 Tagen</v>
      </c>
      <c r="C213" s="7" t="str">
        <f>IFERROR(__xludf.DUMMYFUNCTION("""COMPUTED_VALUE"""),"Working Student in IT – Digital Office (m/f/d)")</f>
        <v>Working Student in IT – Digital Office (m/f/d)</v>
      </c>
      <c r="D213" s="7" t="str">
        <f>IFERROR(__xludf.DUMMYFUNCTION("""COMPUTED_VALUE"""),"Düsseldorf")</f>
        <v>Düsseldorf</v>
      </c>
      <c r="E213" s="7" t="str">
        <f>IFERROR(__xludf.DUMMYFUNCTION("""COMPUTED_VALUE"""),"Statkraft")</f>
        <v>Statkraft</v>
      </c>
      <c r="F213" s="7" t="str">
        <f>IFERROR(__xludf.DUMMYFUNCTION("""COMPUTED_VALUE"""),"None")</f>
        <v>None</v>
      </c>
      <c r="G213" s="7" t="str">
        <f>IFERROR(__xludf.DUMMYFUNCTION("""COMPUTED_VALUE"""),"No salary data")</f>
        <v>No salary data</v>
      </c>
      <c r="H213" s="7" t="str">
        <f>IFERROR(__xludf.DUMMYFUNCTION("""COMPUTED_VALUE"""),"No salary data")</f>
        <v>No salary data</v>
      </c>
      <c r="I213" s="7" t="str">
        <f>IFERROR(__xludf.DUMMYFUNCTION("""COMPUTED_VALUE"""),"No salary data")</f>
        <v>No salary data</v>
      </c>
      <c r="J213" s="7" t="str">
        <f>IFERROR(__xludf.DUMMYFUNCTION("""COMPUTED_VALUE"""),"Python, Excel, Git")</f>
        <v>Python, Excel, Git</v>
      </c>
      <c r="K213" s="7" t="str">
        <f>IFERROR(__xludf.DUMMYFUNCTION("""COMPUTED_VALUE"""),"No job type data")</f>
        <v>No job type data</v>
      </c>
      <c r="L213" s="7" t="str">
        <f>IFERROR(__xludf.DUMMYFUNCTION("""COMPUTED_VALUE"""),"None")</f>
        <v>None</v>
      </c>
      <c r="M213" s="7"/>
      <c r="N213" s="7"/>
      <c r="O213" s="7"/>
    </row>
    <row r="214">
      <c r="A214" s="29">
        <f>IFERROR(__xludf.DUMMYFUNCTION("""COMPUTED_VALUE"""),210.0)</f>
        <v>210</v>
      </c>
      <c r="B214" s="7" t="str">
        <f>IFERROR(__xludf.DUMMYFUNCTION("""COMPUTED_VALUE"""),"Vor mehr als 30 Tagen")</f>
        <v>Vor mehr als 30 Tagen</v>
      </c>
      <c r="C214" s="7" t="str">
        <f>IFERROR(__xludf.DUMMYFUNCTION("""COMPUTED_VALUE"""),"IT Berater(in) / Entwickler(in) für Business Intelligence (B...")</f>
        <v>IT Berater(in) / Entwickler(in) für Business Intelligence (B...</v>
      </c>
      <c r="D214" s="7" t="str">
        <f>IFERROR(__xludf.DUMMYFUNCTION("""COMPUTED_VALUE"""),"Beckum")</f>
        <v>Beckum</v>
      </c>
      <c r="E214" s="7" t="str">
        <f>IFERROR(__xludf.DUMMYFUNCTION("""COMPUTED_VALUE"""),"Wolfgang Westarp GmbH")</f>
        <v>Wolfgang Westarp GmbH</v>
      </c>
      <c r="F214" s="7" t="str">
        <f>IFERROR(__xludf.DUMMYFUNCTION("""COMPUTED_VALUE"""),"None")</f>
        <v>None</v>
      </c>
      <c r="G214" s="7" t="str">
        <f>IFERROR(__xludf.DUMMYFUNCTION("""COMPUTED_VALUE"""),"No salary data")</f>
        <v>No salary data</v>
      </c>
      <c r="H214" s="7" t="str">
        <f>IFERROR(__xludf.DUMMYFUNCTION("""COMPUTED_VALUE"""),"No salary data")</f>
        <v>No salary data</v>
      </c>
      <c r="I214" s="7" t="str">
        <f>IFERROR(__xludf.DUMMYFUNCTION("""COMPUTED_VALUE"""),"No salary data")</f>
        <v>No salary data</v>
      </c>
      <c r="J214" s="7" t="str">
        <f>IFERROR(__xludf.DUMMYFUNCTION("""COMPUTED_VALUE"""),"SQL, Tableau")</f>
        <v>SQL, Tableau</v>
      </c>
      <c r="K214" s="7" t="str">
        <f>IFERROR(__xludf.DUMMYFUNCTION("""COMPUTED_VALUE"""),"No job type data")</f>
        <v>No job type data</v>
      </c>
      <c r="L214" s="7" t="str">
        <f>IFERROR(__xludf.DUMMYFUNCTION("""COMPUTED_VALUE"""),"None")</f>
        <v>None</v>
      </c>
      <c r="M214" s="7"/>
      <c r="N214" s="7"/>
      <c r="O214" s="7"/>
    </row>
    <row r="215">
      <c r="A215" s="29">
        <f>IFERROR(__xludf.DUMMYFUNCTION("""COMPUTED_VALUE"""),211.0)</f>
        <v>211</v>
      </c>
      <c r="B215" s="7" t="str">
        <f>IFERROR(__xludf.DUMMYFUNCTION("""COMPUTED_VALUE"""),"vor 9 Tagen")</f>
        <v>vor 9 Tagen</v>
      </c>
      <c r="C215" s="7" t="str">
        <f>IFERROR(__xludf.DUMMYFUNCTION("""COMPUTED_VALUE"""),"Data Engineer (m/w/d)")</f>
        <v>Data Engineer (m/w/d)</v>
      </c>
      <c r="D215" s="7" t="str">
        <f>IFERROR(__xludf.DUMMYFUNCTION("""COMPUTED_VALUE"""),"Düsseldorf")</f>
        <v>Düsseldorf</v>
      </c>
      <c r="E215" s="7" t="str">
        <f>IFERROR(__xludf.DUMMYFUNCTION("""COMPUTED_VALUE"""),"Just Spices GmbH")</f>
        <v>Just Spices GmbH</v>
      </c>
      <c r="F215" s="7" t="str">
        <f>IFERROR(__xludf.DUMMYFUNCTION("""COMPUTED_VALUE"""),"None")</f>
        <v>None</v>
      </c>
      <c r="G215" s="7" t="str">
        <f>IFERROR(__xludf.DUMMYFUNCTION("""COMPUTED_VALUE"""),"No salary data")</f>
        <v>No salary data</v>
      </c>
      <c r="H215" s="7" t="str">
        <f>IFERROR(__xludf.DUMMYFUNCTION("""COMPUTED_VALUE"""),"No salary data")</f>
        <v>No salary data</v>
      </c>
      <c r="I215" s="7" t="str">
        <f>IFERROR(__xludf.DUMMYFUNCTION("""COMPUTED_VALUE"""),"No salary data")</f>
        <v>No salary data</v>
      </c>
      <c r="J215" s="7" t="str">
        <f>IFERROR(__xludf.DUMMYFUNCTION("""COMPUTED_VALUE"""),"Python, SQL, Agile")</f>
        <v>Python, SQL, Agile</v>
      </c>
      <c r="K215" s="7" t="str">
        <f>IFERROR(__xludf.DUMMYFUNCTION("""COMPUTED_VALUE"""),"No job type data")</f>
        <v>No job type data</v>
      </c>
      <c r="L215" s="7" t="str">
        <f>IFERROR(__xludf.DUMMYFUNCTION("""COMPUTED_VALUE"""),"None")</f>
        <v>None</v>
      </c>
      <c r="M215" s="7"/>
      <c r="N215" s="7"/>
      <c r="O215" s="7"/>
    </row>
    <row r="216">
      <c r="A216" s="29">
        <f>IFERROR(__xludf.DUMMYFUNCTION("""COMPUTED_VALUE"""),212.0)</f>
        <v>212</v>
      </c>
      <c r="B216" s="7" t="str">
        <f>IFERROR(__xludf.DUMMYFUNCTION("""COMPUTED_VALUE"""),"Vor mehr als 30 Tagen")</f>
        <v>Vor mehr als 30 Tagen</v>
      </c>
      <c r="C216" s="7" t="str">
        <f>IFERROR(__xludf.DUMMYFUNCTION("""COMPUTED_VALUE"""),"Junior Consultant Artificial Intelligence (m/w/d)")</f>
        <v>Junior Consultant Artificial Intelligence (m/w/d)</v>
      </c>
      <c r="D216" s="7" t="str">
        <f>IFERROR(__xludf.DUMMYFUNCTION("""COMPUTED_VALUE"""),"Deutschland")</f>
        <v>Deutschland</v>
      </c>
      <c r="E216" s="7" t="str">
        <f>IFERROR(__xludf.DUMMYFUNCTION("""COMPUTED_VALUE"""),"mayato GmbH")</f>
        <v>mayato GmbH</v>
      </c>
      <c r="F216" s="7" t="str">
        <f>IFERROR(__xludf.DUMMYFUNCTION("""COMPUTED_VALUE"""),"None")</f>
        <v>None</v>
      </c>
      <c r="G216" s="7" t="str">
        <f>IFERROR(__xludf.DUMMYFUNCTION("""COMPUTED_VALUE"""),"No salary data")</f>
        <v>No salary data</v>
      </c>
      <c r="H216" s="7" t="str">
        <f>IFERROR(__xludf.DUMMYFUNCTION("""COMPUTED_VALUE"""),"No salary data")</f>
        <v>No salary data</v>
      </c>
      <c r="I216" s="7" t="str">
        <f>IFERROR(__xludf.DUMMYFUNCTION("""COMPUTED_VALUE"""),"No salary data")</f>
        <v>No salary data</v>
      </c>
      <c r="J216" s="7" t="str">
        <f>IFERROR(__xludf.DUMMYFUNCTION("""COMPUTED_VALUE"""),"Python, Git")</f>
        <v>Python, Git</v>
      </c>
      <c r="K216" s="7" t="str">
        <f>IFERROR(__xludf.DUMMYFUNCTION("""COMPUTED_VALUE"""),"No job type data")</f>
        <v>No job type data</v>
      </c>
      <c r="L216" s="7" t="str">
        <f>IFERROR(__xludf.DUMMYFUNCTION("""COMPUTED_VALUE"""),"4,8")</f>
        <v>4,8</v>
      </c>
      <c r="M216" s="7"/>
      <c r="N216" s="7"/>
      <c r="O216" s="7"/>
    </row>
    <row r="217">
      <c r="A217" s="29">
        <f>IFERROR(__xludf.DUMMYFUNCTION("""COMPUTED_VALUE"""),213.0)</f>
        <v>213</v>
      </c>
      <c r="B217" s="7" t="str">
        <f>IFERROR(__xludf.DUMMYFUNCTION("""COMPUTED_VALUE"""),"Vor mehr als 30 Tagen")</f>
        <v>Vor mehr als 30 Tagen</v>
      </c>
      <c r="C217" s="7" t="str">
        <f>IFERROR(__xludf.DUMMYFUNCTION("""COMPUTED_VALUE"""),"Capgemini Invent: (Associate) Consultant (m/w/d) Insights Dr...")</f>
        <v>Capgemini Invent: (Associate) Consultant (m/w/d) Insights Dr...</v>
      </c>
      <c r="D217" s="7" t="str">
        <f>IFERROR(__xludf.DUMMYFUNCTION("""COMPUTED_VALUE"""),"Hamburg")</f>
        <v>Hamburg</v>
      </c>
      <c r="E217" s="7" t="str">
        <f>IFERROR(__xludf.DUMMYFUNCTION("""COMPUTED_VALUE"""),"Capgemini")</f>
        <v>Capgemini</v>
      </c>
      <c r="F217" s="7" t="str">
        <f>IFERROR(__xludf.DUMMYFUNCTION("""COMPUTED_VALUE"""),"None")</f>
        <v>None</v>
      </c>
      <c r="G217" s="7" t="str">
        <f>IFERROR(__xludf.DUMMYFUNCTION("""COMPUTED_VALUE"""),"No salary data")</f>
        <v>No salary data</v>
      </c>
      <c r="H217" s="7" t="str">
        <f>IFERROR(__xludf.DUMMYFUNCTION("""COMPUTED_VALUE"""),"No salary data")</f>
        <v>No salary data</v>
      </c>
      <c r="I217" s="7" t="str">
        <f>IFERROR(__xludf.DUMMYFUNCTION("""COMPUTED_VALUE"""),"No salary data")</f>
        <v>No salary data</v>
      </c>
      <c r="J217" s="7" t="str">
        <f>IFERROR(__xludf.DUMMYFUNCTION("""COMPUTED_VALUE"""),"Git, Agile")</f>
        <v>Git, Agile</v>
      </c>
      <c r="K217" s="7" t="str">
        <f>IFERROR(__xludf.DUMMYFUNCTION("""COMPUTED_VALUE"""),"No job type data")</f>
        <v>No job type data</v>
      </c>
      <c r="L217" s="7" t="str">
        <f>IFERROR(__xludf.DUMMYFUNCTION("""COMPUTED_VALUE"""),"3,8")</f>
        <v>3,8</v>
      </c>
      <c r="M217" s="7"/>
      <c r="N217" s="7"/>
      <c r="O217" s="7"/>
    </row>
    <row r="218">
      <c r="A218" s="29">
        <f>IFERROR(__xludf.DUMMYFUNCTION("""COMPUTED_VALUE"""),214.0)</f>
        <v>214</v>
      </c>
      <c r="B218" s="7" t="str">
        <f>IFERROR(__xludf.DUMMYFUNCTION("""COMPUTED_VALUE"""),"Vor mehr als 30 Tagen")</f>
        <v>Vor mehr als 30 Tagen</v>
      </c>
      <c r="C218" s="7" t="str">
        <f>IFERROR(__xludf.DUMMYFUNCTION("""COMPUTED_VALUE"""),"Technology Consultant (w/m/d) Data Science &amp; Analytics")</f>
        <v>Technology Consultant (w/m/d) Data Science &amp; Analytics</v>
      </c>
      <c r="D218" s="7" t="str">
        <f>IFERROR(__xludf.DUMMYFUNCTION("""COMPUTED_VALUE"""),"Hamburg")</f>
        <v>Hamburg</v>
      </c>
      <c r="E218" s="7" t="str">
        <f>IFERROR(__xludf.DUMMYFUNCTION("""COMPUTED_VALUE"""),"Campana &amp; Schott Business Services GmbH")</f>
        <v>Campana &amp; Schott Business Services GmbH</v>
      </c>
      <c r="F218" s="7" t="str">
        <f>IFERROR(__xludf.DUMMYFUNCTION("""COMPUTED_VALUE"""),"None")</f>
        <v>None</v>
      </c>
      <c r="G218" s="7" t="str">
        <f>IFERROR(__xludf.DUMMYFUNCTION("""COMPUTED_VALUE"""),"No salary data")</f>
        <v>No salary data</v>
      </c>
      <c r="H218" s="7" t="str">
        <f>IFERROR(__xludf.DUMMYFUNCTION("""COMPUTED_VALUE"""),"No salary data")</f>
        <v>No salary data</v>
      </c>
      <c r="I218" s="7" t="str">
        <f>IFERROR(__xludf.DUMMYFUNCTION("""COMPUTED_VALUE"""),"No salary data")</f>
        <v>No salary data</v>
      </c>
      <c r="J218" s="7" t="str">
        <f>IFERROR(__xludf.DUMMYFUNCTION("""COMPUTED_VALUE"""),"Python, Excel, Machine Learning, Git")</f>
        <v>Python, Excel, Machine Learning, Git</v>
      </c>
      <c r="K218" s="7" t="str">
        <f>IFERROR(__xludf.DUMMYFUNCTION("""COMPUTED_VALUE"""),"No job type data")</f>
        <v>No job type data</v>
      </c>
      <c r="L218" s="7" t="str">
        <f>IFERROR(__xludf.DUMMYFUNCTION("""COMPUTED_VALUE"""),"None")</f>
        <v>None</v>
      </c>
      <c r="M218" s="7"/>
      <c r="N218" s="7"/>
      <c r="O218" s="7"/>
    </row>
    <row r="219">
      <c r="A219" s="29">
        <f>IFERROR(__xludf.DUMMYFUNCTION("""COMPUTED_VALUE"""),215.0)</f>
        <v>215</v>
      </c>
      <c r="B219" s="7" t="str">
        <f>IFERROR(__xludf.DUMMYFUNCTION("""COMPUTED_VALUE"""),"Vor mehr als 30 Tagen")</f>
        <v>Vor mehr als 30 Tagen</v>
      </c>
      <c r="C219" s="7" t="str">
        <f>IFERROR(__xludf.DUMMYFUNCTION("""COMPUTED_VALUE"""),"Data Warehouse Engineer (all genders)")</f>
        <v>Data Warehouse Engineer (all genders)</v>
      </c>
      <c r="D219" s="7" t="str">
        <f>IFERROR(__xludf.DUMMYFUNCTION("""COMPUTED_VALUE"""),"Hamburg")</f>
        <v>Hamburg</v>
      </c>
      <c r="E219" s="7" t="str">
        <f>IFERROR(__xludf.DUMMYFUNCTION("""COMPUTED_VALUE"""),"Goodgame Studios")</f>
        <v>Goodgame Studios</v>
      </c>
      <c r="F219" s="7" t="str">
        <f>IFERROR(__xludf.DUMMYFUNCTION("""COMPUTED_VALUE"""),"None")</f>
        <v>None</v>
      </c>
      <c r="G219" s="7" t="str">
        <f>IFERROR(__xludf.DUMMYFUNCTION("""COMPUTED_VALUE"""),"No salary data")</f>
        <v>No salary data</v>
      </c>
      <c r="H219" s="7" t="str">
        <f>IFERROR(__xludf.DUMMYFUNCTION("""COMPUTED_VALUE"""),"No salary data")</f>
        <v>No salary data</v>
      </c>
      <c r="I219" s="7" t="str">
        <f>IFERROR(__xludf.DUMMYFUNCTION("""COMPUTED_VALUE"""),"No salary data")</f>
        <v>No salary data</v>
      </c>
      <c r="J219" s="7" t="str">
        <f>IFERROR(__xludf.DUMMYFUNCTION("""COMPUTED_VALUE"""),"Python, SQL, Git, Agile")</f>
        <v>Python, SQL, Git, Agile</v>
      </c>
      <c r="K219" s="7" t="str">
        <f>IFERROR(__xludf.DUMMYFUNCTION("""COMPUTED_VALUE"""),"No job type data")</f>
        <v>No job type data</v>
      </c>
      <c r="L219" s="7" t="str">
        <f>IFERROR(__xludf.DUMMYFUNCTION("""COMPUTED_VALUE"""),"3,5")</f>
        <v>3,5</v>
      </c>
      <c r="M219" s="7"/>
      <c r="N219" s="7"/>
      <c r="O219" s="7"/>
    </row>
    <row r="220">
      <c r="A220" s="29">
        <f>IFERROR(__xludf.DUMMYFUNCTION("""COMPUTED_VALUE"""),216.0)</f>
        <v>216</v>
      </c>
      <c r="B220" s="7" t="str">
        <f>IFERROR(__xludf.DUMMYFUNCTION("""COMPUTED_VALUE"""),"Vor mehr als 30 Tagen")</f>
        <v>Vor mehr als 30 Tagen</v>
      </c>
      <c r="C220" s="7" t="str">
        <f>IFERROR(__xludf.DUMMYFUNCTION("""COMPUTED_VALUE"""),"Consultant Data Science (m/w/d)")</f>
        <v>Consultant Data Science (m/w/d)</v>
      </c>
      <c r="D220" s="7" t="str">
        <f>IFERROR(__xludf.DUMMYFUNCTION("""COMPUTED_VALUE"""),"Deutschland")</f>
        <v>Deutschland</v>
      </c>
      <c r="E220" s="7" t="str">
        <f>IFERROR(__xludf.DUMMYFUNCTION("""COMPUTED_VALUE"""),"mayato GmbH")</f>
        <v>mayato GmbH</v>
      </c>
      <c r="F220" s="7" t="str">
        <f>IFERROR(__xludf.DUMMYFUNCTION("""COMPUTED_VALUE"""),"None")</f>
        <v>None</v>
      </c>
      <c r="G220" s="7" t="str">
        <f>IFERROR(__xludf.DUMMYFUNCTION("""COMPUTED_VALUE"""),"No salary data")</f>
        <v>No salary data</v>
      </c>
      <c r="H220" s="7" t="str">
        <f>IFERROR(__xludf.DUMMYFUNCTION("""COMPUTED_VALUE"""),"No salary data")</f>
        <v>No salary data</v>
      </c>
      <c r="I220" s="7" t="str">
        <f>IFERROR(__xludf.DUMMYFUNCTION("""COMPUTED_VALUE"""),"No salary data")</f>
        <v>No salary data</v>
      </c>
      <c r="J220" s="7" t="str">
        <f>IFERROR(__xludf.DUMMYFUNCTION("""COMPUTED_VALUE"""),"Python, SQL, Tableau")</f>
        <v>Python, SQL, Tableau</v>
      </c>
      <c r="K220" s="7" t="str">
        <f>IFERROR(__xludf.DUMMYFUNCTION("""COMPUTED_VALUE"""),"No job type data")</f>
        <v>No job type data</v>
      </c>
      <c r="L220" s="7" t="str">
        <f>IFERROR(__xludf.DUMMYFUNCTION("""COMPUTED_VALUE"""),"4,8")</f>
        <v>4,8</v>
      </c>
      <c r="M220" s="7"/>
      <c r="N220" s="7"/>
      <c r="O220" s="7"/>
    </row>
    <row r="221">
      <c r="A221" s="29">
        <f>IFERROR(__xludf.DUMMYFUNCTION("""COMPUTED_VALUE"""),217.0)</f>
        <v>217</v>
      </c>
      <c r="B221" s="7" t="str">
        <f>IFERROR(__xludf.DUMMYFUNCTION("""COMPUTED_VALUE"""),"Vor mehr als 30 Tagen")</f>
        <v>Vor mehr als 30 Tagen</v>
      </c>
      <c r="C221" s="7" t="str">
        <f>IFERROR(__xludf.DUMMYFUNCTION("""COMPUTED_VALUE"""),"Marketing Data Analyst (m/w/d)")</f>
        <v>Marketing Data Analyst (m/w/d)</v>
      </c>
      <c r="D221" s="7" t="str">
        <f>IFERROR(__xludf.DUMMYFUNCTION("""COMPUTED_VALUE"""),"München")</f>
        <v>München</v>
      </c>
      <c r="E221" s="7" t="str">
        <f>IFERROR(__xludf.DUMMYFUNCTION("""COMPUTED_VALUE"""),"MediaMarktSaturn Marketing")</f>
        <v>MediaMarktSaturn Marketing</v>
      </c>
      <c r="F221" s="7" t="str">
        <f>IFERROR(__xludf.DUMMYFUNCTION("""COMPUTED_VALUE"""),"None")</f>
        <v>None</v>
      </c>
      <c r="G221" s="7" t="str">
        <f>IFERROR(__xludf.DUMMYFUNCTION("""COMPUTED_VALUE"""),"No salary data")</f>
        <v>No salary data</v>
      </c>
      <c r="H221" s="7" t="str">
        <f>IFERROR(__xludf.DUMMYFUNCTION("""COMPUTED_VALUE"""),"No salary data")</f>
        <v>No salary data</v>
      </c>
      <c r="I221" s="7" t="str">
        <f>IFERROR(__xludf.DUMMYFUNCTION("""COMPUTED_VALUE"""),"No salary data")</f>
        <v>No salary data</v>
      </c>
      <c r="J221" s="7" t="str">
        <f>IFERROR(__xludf.DUMMYFUNCTION("""COMPUTED_VALUE"""),"SQL, Tableau")</f>
        <v>SQL, Tableau</v>
      </c>
      <c r="K221" s="7" t="str">
        <f>IFERROR(__xludf.DUMMYFUNCTION("""COMPUTED_VALUE"""),"No job type data")</f>
        <v>No job type data</v>
      </c>
      <c r="L221" s="7" t="str">
        <f>IFERROR(__xludf.DUMMYFUNCTION("""COMPUTED_VALUE"""),"None")</f>
        <v>None</v>
      </c>
      <c r="M221" s="7"/>
      <c r="N221" s="7"/>
      <c r="O221" s="7"/>
    </row>
    <row r="222">
      <c r="A222" s="29">
        <f>IFERROR(__xludf.DUMMYFUNCTION("""COMPUTED_VALUE"""),218.0)</f>
        <v>218</v>
      </c>
      <c r="B222" s="7" t="str">
        <f>IFERROR(__xludf.DUMMYFUNCTION("""COMPUTED_VALUE"""),"Vor mehr als 30 Tagen")</f>
        <v>Vor mehr als 30 Tagen</v>
      </c>
      <c r="C222" s="7" t="str">
        <f>IFERROR(__xludf.DUMMYFUNCTION("""COMPUTED_VALUE"""),"Junior Data Analyst*")</f>
        <v>Junior Data Analyst*</v>
      </c>
      <c r="D222" s="7" t="str">
        <f>IFERROR(__xludf.DUMMYFUNCTION("""COMPUTED_VALUE"""),"Karlsruhe")</f>
        <v>Karlsruhe</v>
      </c>
      <c r="E222" s="7" t="str">
        <f>IFERROR(__xludf.DUMMYFUNCTION("""COMPUTED_VALUE"""),"Gameforge")</f>
        <v>Gameforge</v>
      </c>
      <c r="F222" s="7" t="str">
        <f>IFERROR(__xludf.DUMMYFUNCTION("""COMPUTED_VALUE"""),"None")</f>
        <v>None</v>
      </c>
      <c r="G222" s="7" t="str">
        <f>IFERROR(__xludf.DUMMYFUNCTION("""COMPUTED_VALUE"""),"No salary data")</f>
        <v>No salary data</v>
      </c>
      <c r="H222" s="7" t="str">
        <f>IFERROR(__xludf.DUMMYFUNCTION("""COMPUTED_VALUE"""),"No salary data")</f>
        <v>No salary data</v>
      </c>
      <c r="I222" s="7" t="str">
        <f>IFERROR(__xludf.DUMMYFUNCTION("""COMPUTED_VALUE"""),"No salary data")</f>
        <v>No salary data</v>
      </c>
      <c r="J222" s="7" t="str">
        <f>IFERROR(__xludf.DUMMYFUNCTION("""COMPUTED_VALUE"""),"SQL, Excel, Git")</f>
        <v>SQL, Excel, Git</v>
      </c>
      <c r="K222" s="7" t="str">
        <f>IFERROR(__xludf.DUMMYFUNCTION("""COMPUTED_VALUE"""),"No job type data")</f>
        <v>No job type data</v>
      </c>
      <c r="L222" s="7" t="str">
        <f>IFERROR(__xludf.DUMMYFUNCTION("""COMPUTED_VALUE"""),"4,0")</f>
        <v>4,0</v>
      </c>
      <c r="M222" s="7"/>
      <c r="N222" s="7"/>
      <c r="O222" s="7"/>
    </row>
    <row r="223">
      <c r="A223" s="29">
        <f>IFERROR(__xludf.DUMMYFUNCTION("""COMPUTED_VALUE"""),219.0)</f>
        <v>219</v>
      </c>
      <c r="B223" s="7" t="str">
        <f>IFERROR(__xludf.DUMMYFUNCTION("""COMPUTED_VALUE"""),"vor 3 Tagen")</f>
        <v>vor 3 Tagen</v>
      </c>
      <c r="C223" s="7" t="str">
        <f>IFERROR(__xludf.DUMMYFUNCTION("""COMPUTED_VALUE"""),"Data Architect BI &amp; Data Warehouse Automotive (m/w/d)")</f>
        <v>Data Architect BI &amp; Data Warehouse Automotive (m/w/d)</v>
      </c>
      <c r="D223" s="7" t="str">
        <f>IFERROR(__xludf.DUMMYFUNCTION("""COMPUTED_VALUE"""),"Deutschland")</f>
        <v>Deutschland</v>
      </c>
      <c r="E223" s="7" t="str">
        <f>IFERROR(__xludf.DUMMYFUNCTION("""COMPUTED_VALUE"""),"Steria")</f>
        <v>Steria</v>
      </c>
      <c r="F223" s="7" t="str">
        <f>IFERROR(__xludf.DUMMYFUNCTION("""COMPUTED_VALUE"""),"None")</f>
        <v>None</v>
      </c>
      <c r="G223" s="7" t="str">
        <f>IFERROR(__xludf.DUMMYFUNCTION("""COMPUTED_VALUE"""),"No salary data")</f>
        <v>No salary data</v>
      </c>
      <c r="H223" s="7" t="str">
        <f>IFERROR(__xludf.DUMMYFUNCTION("""COMPUTED_VALUE"""),"No salary data")</f>
        <v>No salary data</v>
      </c>
      <c r="I223" s="7" t="str">
        <f>IFERROR(__xludf.DUMMYFUNCTION("""COMPUTED_VALUE"""),"No salary data")</f>
        <v>No salary data</v>
      </c>
      <c r="J223" s="7" t="str">
        <f>IFERROR(__xludf.DUMMYFUNCTION("""COMPUTED_VALUE"""),"SQL, Agile, Scrum")</f>
        <v>SQL, Agile, Scrum</v>
      </c>
      <c r="K223" s="7" t="str">
        <f>IFERROR(__xludf.DUMMYFUNCTION("""COMPUTED_VALUE"""),"No job type data")</f>
        <v>No job type data</v>
      </c>
      <c r="L223" s="7" t="str">
        <f>IFERROR(__xludf.DUMMYFUNCTION("""COMPUTED_VALUE"""),"3,5")</f>
        <v>3,5</v>
      </c>
      <c r="M223" s="7"/>
      <c r="N223" s="7"/>
      <c r="O223" s="7"/>
    </row>
    <row r="224">
      <c r="A224" s="29">
        <f>IFERROR(__xludf.DUMMYFUNCTION("""COMPUTED_VALUE"""),220.0)</f>
        <v>220</v>
      </c>
      <c r="B224" s="7" t="str">
        <f>IFERROR(__xludf.DUMMYFUNCTION("""COMPUTED_VALUE"""),"vor 4 Tagen")</f>
        <v>vor 4 Tagen</v>
      </c>
      <c r="C224" s="7" t="str">
        <f>IFERROR(__xludf.DUMMYFUNCTION("""COMPUTED_VALUE"""),"Business Intelligence Developer (m/f/d)")</f>
        <v>Business Intelligence Developer (m/f/d)</v>
      </c>
      <c r="D224" s="7" t="str">
        <f>IFERROR(__xludf.DUMMYFUNCTION("""COMPUTED_VALUE"""),"Berlin")</f>
        <v>Berlin</v>
      </c>
      <c r="E224" s="7" t="str">
        <f>IFERROR(__xludf.DUMMYFUNCTION("""COMPUTED_VALUE"""),"Mister Spex GmbH")</f>
        <v>Mister Spex GmbH</v>
      </c>
      <c r="F224" s="7" t="str">
        <f>IFERROR(__xludf.DUMMYFUNCTION("""COMPUTED_VALUE"""),"None")</f>
        <v>None</v>
      </c>
      <c r="G224" s="7" t="str">
        <f>IFERROR(__xludf.DUMMYFUNCTION("""COMPUTED_VALUE"""),"No salary data")</f>
        <v>No salary data</v>
      </c>
      <c r="H224" s="7" t="str">
        <f>IFERROR(__xludf.DUMMYFUNCTION("""COMPUTED_VALUE"""),"No salary data")</f>
        <v>No salary data</v>
      </c>
      <c r="I224" s="7" t="str">
        <f>IFERROR(__xludf.DUMMYFUNCTION("""COMPUTED_VALUE"""),"No salary data")</f>
        <v>No salary data</v>
      </c>
      <c r="J224" s="7" t="str">
        <f>IFERROR(__xludf.DUMMYFUNCTION("""COMPUTED_VALUE"""),"SQL")</f>
        <v>SQL</v>
      </c>
      <c r="K224" s="7" t="str">
        <f>IFERROR(__xludf.DUMMYFUNCTION("""COMPUTED_VALUE"""),"No job type data")</f>
        <v>No job type data</v>
      </c>
      <c r="L224" s="7" t="str">
        <f>IFERROR(__xludf.DUMMYFUNCTION("""COMPUTED_VALUE"""),"3,8")</f>
        <v>3,8</v>
      </c>
      <c r="M224" s="7"/>
      <c r="N224" s="7"/>
      <c r="O224" s="7"/>
    </row>
    <row r="225">
      <c r="A225" s="29">
        <f>IFERROR(__xludf.DUMMYFUNCTION("""COMPUTED_VALUE"""),221.0)</f>
        <v>221</v>
      </c>
      <c r="B225" s="7" t="str">
        <f>IFERROR(__xludf.DUMMYFUNCTION("""COMPUTED_VALUE"""),"Vor mehr als 30 Tagen")</f>
        <v>Vor mehr als 30 Tagen</v>
      </c>
      <c r="C225" s="7" t="str">
        <f>IFERROR(__xludf.DUMMYFUNCTION("""COMPUTED_VALUE"""),"Data-Enthusiast for Business Analytics Consulting (m/w/d)")</f>
        <v>Data-Enthusiast for Business Analytics Consulting (m/w/d)</v>
      </c>
      <c r="D225" s="7" t="str">
        <f>IFERROR(__xludf.DUMMYFUNCTION("""COMPUTED_VALUE"""),"Hamburg")</f>
        <v>Hamburg</v>
      </c>
      <c r="E225" s="7" t="str">
        <f>IFERROR(__xludf.DUMMYFUNCTION("""COMPUTED_VALUE"""),"reeeliance")</f>
        <v>reeeliance</v>
      </c>
      <c r="F225" s="7" t="str">
        <f>IFERROR(__xludf.DUMMYFUNCTION("""COMPUTED_VALUE"""),"None")</f>
        <v>None</v>
      </c>
      <c r="G225" s="7" t="str">
        <f>IFERROR(__xludf.DUMMYFUNCTION("""COMPUTED_VALUE"""),"No salary data")</f>
        <v>No salary data</v>
      </c>
      <c r="H225" s="7" t="str">
        <f>IFERROR(__xludf.DUMMYFUNCTION("""COMPUTED_VALUE"""),"No salary data")</f>
        <v>No salary data</v>
      </c>
      <c r="I225" s="7" t="str">
        <f>IFERROR(__xludf.DUMMYFUNCTION("""COMPUTED_VALUE"""),"No salary data")</f>
        <v>No salary data</v>
      </c>
      <c r="J225" s="7" t="str">
        <f>IFERROR(__xludf.DUMMYFUNCTION("""COMPUTED_VALUE"""),"Python, SQL, Tableau, Git, Agile, Scrum, Kanban")</f>
        <v>Python, SQL, Tableau, Git, Agile, Scrum, Kanban</v>
      </c>
      <c r="K225" s="7" t="str">
        <f>IFERROR(__xludf.DUMMYFUNCTION("""COMPUTED_VALUE"""),"No job type data")</f>
        <v>No job type data</v>
      </c>
      <c r="L225" s="7" t="str">
        <f>IFERROR(__xludf.DUMMYFUNCTION("""COMPUTED_VALUE"""),"None")</f>
        <v>None</v>
      </c>
      <c r="M225" s="7"/>
      <c r="N225" s="7"/>
      <c r="O225" s="7"/>
    </row>
    <row r="226">
      <c r="A226" s="29">
        <f>IFERROR(__xludf.DUMMYFUNCTION("""COMPUTED_VALUE"""),222.0)</f>
        <v>222</v>
      </c>
      <c r="B226" s="7" t="str">
        <f>IFERROR(__xludf.DUMMYFUNCTION("""COMPUTED_VALUE"""),"vor 2 Tagen")</f>
        <v>vor 2 Tagen</v>
      </c>
      <c r="C226" s="7" t="str">
        <f>IFERROR(__xludf.DUMMYFUNCTION("""COMPUTED_VALUE"""),"Junior Growth Consultant (Retention &amp; CRM) (m/f/d)")</f>
        <v>Junior Growth Consultant (Retention &amp; CRM) (m/f/d)</v>
      </c>
      <c r="D226" s="7" t="str">
        <f>IFERROR(__xludf.DUMMYFUNCTION("""COMPUTED_VALUE"""),"Berlin-Kreuzberg")</f>
        <v>Berlin-Kreuzberg</v>
      </c>
      <c r="E226" s="7" t="str">
        <f>IFERROR(__xludf.DUMMYFUNCTION("""COMPUTED_VALUE"""),"Phiture")</f>
        <v>Phiture</v>
      </c>
      <c r="F226" s="7" t="str">
        <f>IFERROR(__xludf.DUMMYFUNCTION("""COMPUTED_VALUE"""),"None")</f>
        <v>None</v>
      </c>
      <c r="G226" s="7" t="str">
        <f>IFERROR(__xludf.DUMMYFUNCTION("""COMPUTED_VALUE"""),"No salary data")</f>
        <v>No salary data</v>
      </c>
      <c r="H226" s="7" t="str">
        <f>IFERROR(__xludf.DUMMYFUNCTION("""COMPUTED_VALUE"""),"No salary data")</f>
        <v>No salary data</v>
      </c>
      <c r="I226" s="7" t="str">
        <f>IFERROR(__xludf.DUMMYFUNCTION("""COMPUTED_VALUE"""),"No salary data")</f>
        <v>No salary data</v>
      </c>
      <c r="J226" s="7" t="str">
        <f>IFERROR(__xludf.DUMMYFUNCTION("""COMPUTED_VALUE"""),"Python, SQL, Excel, Statistic, Git")</f>
        <v>Python, SQL, Excel, Statistic, Git</v>
      </c>
      <c r="K226" s="7" t="str">
        <f>IFERROR(__xludf.DUMMYFUNCTION("""COMPUTED_VALUE"""),"No job type data")</f>
        <v>No job type data</v>
      </c>
      <c r="L226" s="7" t="str">
        <f>IFERROR(__xludf.DUMMYFUNCTION("""COMPUTED_VALUE"""),"None")</f>
        <v>None</v>
      </c>
      <c r="M226" s="7"/>
      <c r="N226" s="7"/>
      <c r="O226" s="7"/>
    </row>
    <row r="227">
      <c r="A227" s="29">
        <f>IFERROR(__xludf.DUMMYFUNCTION("""COMPUTED_VALUE"""),223.0)</f>
        <v>223</v>
      </c>
      <c r="B227" s="7" t="str">
        <f>IFERROR(__xludf.DUMMYFUNCTION("""COMPUTED_VALUE"""),"vor 7 Tagen")</f>
        <v>vor 7 Tagen</v>
      </c>
      <c r="C227" s="7" t="str">
        <f>IFERROR(__xludf.DUMMYFUNCTION("""COMPUTED_VALUE"""),"Artificial Intelligence Expert")</f>
        <v>Artificial Intelligence Expert</v>
      </c>
      <c r="D227" s="7" t="str">
        <f>IFERROR(__xludf.DUMMYFUNCTION("""COMPUTED_VALUE"""),"Berlin")</f>
        <v>Berlin</v>
      </c>
      <c r="E227" s="7" t="str">
        <f>IFERROR(__xludf.DUMMYFUNCTION("""COMPUTED_VALUE"""),"Alldus")</f>
        <v>Alldus</v>
      </c>
      <c r="F227" s="7" t="str">
        <f>IFERROR(__xludf.DUMMYFUNCTION("""COMPUTED_VALUE"""),"None")</f>
        <v>None</v>
      </c>
      <c r="G227" s="7" t="str">
        <f>IFERROR(__xludf.DUMMYFUNCTION("""COMPUTED_VALUE"""),"No salary data")</f>
        <v>No salary data</v>
      </c>
      <c r="H227" s="7" t="str">
        <f>IFERROR(__xludf.DUMMYFUNCTION("""COMPUTED_VALUE"""),"No salary data")</f>
        <v>No salary data</v>
      </c>
      <c r="I227" s="7" t="str">
        <f>IFERROR(__xludf.DUMMYFUNCTION("""COMPUTED_VALUE"""),"No salary data")</f>
        <v>No salary data</v>
      </c>
      <c r="J227" s="7" t="str">
        <f>IFERROR(__xludf.DUMMYFUNCTION("""COMPUTED_VALUE"""),"Machine Learning")</f>
        <v>Machine Learning</v>
      </c>
      <c r="K227" s="7" t="str">
        <f>IFERROR(__xludf.DUMMYFUNCTION("""COMPUTED_VALUE"""),"Permanent")</f>
        <v>Permanent</v>
      </c>
      <c r="L227" s="7" t="str">
        <f>IFERROR(__xludf.DUMMYFUNCTION("""COMPUTED_VALUE"""),"None")</f>
        <v>None</v>
      </c>
      <c r="M227" s="7"/>
      <c r="N227" s="7"/>
      <c r="O227" s="7"/>
    </row>
    <row r="228">
      <c r="A228" s="29">
        <f>IFERROR(__xludf.DUMMYFUNCTION("""COMPUTED_VALUE"""),224.0)</f>
        <v>224</v>
      </c>
      <c r="B228" s="7" t="str">
        <f>IFERROR(__xludf.DUMMYFUNCTION("""COMPUTED_VALUE"""),"Vor mehr als 30 Tagen")</f>
        <v>Vor mehr als 30 Tagen</v>
      </c>
      <c r="C228" s="7" t="str">
        <f>IFERROR(__xludf.DUMMYFUNCTION("""COMPUTED_VALUE"""),"Data Science - Professionals (w/m/d)")</f>
        <v>Data Science - Professionals (w/m/d)</v>
      </c>
      <c r="D228" s="7" t="str">
        <f>IFERROR(__xludf.DUMMYFUNCTION("""COMPUTED_VALUE"""),"Frankfurt am Main")</f>
        <v>Frankfurt am Main</v>
      </c>
      <c r="E228" s="7" t="str">
        <f>IFERROR(__xludf.DUMMYFUNCTION("""COMPUTED_VALUE"""),"Miebach Consulting")</f>
        <v>Miebach Consulting</v>
      </c>
      <c r="F228" s="7" t="str">
        <f>IFERROR(__xludf.DUMMYFUNCTION("""COMPUTED_VALUE"""),"None")</f>
        <v>None</v>
      </c>
      <c r="G228" s="7" t="str">
        <f>IFERROR(__xludf.DUMMYFUNCTION("""COMPUTED_VALUE"""),"No salary data")</f>
        <v>No salary data</v>
      </c>
      <c r="H228" s="7" t="str">
        <f>IFERROR(__xludf.DUMMYFUNCTION("""COMPUTED_VALUE"""),"No salary data")</f>
        <v>No salary data</v>
      </c>
      <c r="I228" s="7" t="str">
        <f>IFERROR(__xludf.DUMMYFUNCTION("""COMPUTED_VALUE"""),"No salary data")</f>
        <v>No salary data</v>
      </c>
      <c r="J228" s="7" t="str">
        <f>IFERROR(__xludf.DUMMYFUNCTION("""COMPUTED_VALUE"""),"Python, SQL, Tableau")</f>
        <v>Python, SQL, Tableau</v>
      </c>
      <c r="K228" s="7" t="str">
        <f>IFERROR(__xludf.DUMMYFUNCTION("""COMPUTED_VALUE"""),"No job type data")</f>
        <v>No job type data</v>
      </c>
      <c r="L228" s="7" t="str">
        <f>IFERROR(__xludf.DUMMYFUNCTION("""COMPUTED_VALUE"""),"None")</f>
        <v>None</v>
      </c>
      <c r="M228" s="7"/>
      <c r="N228" s="7"/>
      <c r="O228" s="7"/>
    </row>
    <row r="229">
      <c r="A229" s="29">
        <f>IFERROR(__xludf.DUMMYFUNCTION("""COMPUTED_VALUE"""),225.0)</f>
        <v>225</v>
      </c>
      <c r="B229" s="7" t="str">
        <f>IFERROR(__xludf.DUMMYFUNCTION("""COMPUTED_VALUE"""),"vor 19 Tagen")</f>
        <v>vor 19 Tagen</v>
      </c>
      <c r="C229" s="7" t="str">
        <f>IFERROR(__xludf.DUMMYFUNCTION("""COMPUTED_VALUE"""),"Data Analyst with Remote Sensing Expertise (gn)")</f>
        <v>Data Analyst with Remote Sensing Expertise (gn)</v>
      </c>
      <c r="D229" s="7" t="str">
        <f>IFERROR(__xludf.DUMMYFUNCTION("""COMPUTED_VALUE"""),"Freiburg")</f>
        <v>Freiburg</v>
      </c>
      <c r="E229" s="7" t="str">
        <f>IFERROR(__xludf.DUMMYFUNCTION("""COMPUTED_VALUE"""),"UNIQUE forestry and land use")</f>
        <v>UNIQUE forestry and land use</v>
      </c>
      <c r="F229" s="7" t="str">
        <f>IFERROR(__xludf.DUMMYFUNCTION("""COMPUTED_VALUE"""),"None")</f>
        <v>None</v>
      </c>
      <c r="G229" s="7" t="str">
        <f>IFERROR(__xludf.DUMMYFUNCTION("""COMPUTED_VALUE"""),"No salary data")</f>
        <v>No salary data</v>
      </c>
      <c r="H229" s="7" t="str">
        <f>IFERROR(__xludf.DUMMYFUNCTION("""COMPUTED_VALUE"""),"No salary data")</f>
        <v>No salary data</v>
      </c>
      <c r="I229" s="7" t="str">
        <f>IFERROR(__xludf.DUMMYFUNCTION("""COMPUTED_VALUE"""),"No salary data")</f>
        <v>No salary data</v>
      </c>
      <c r="J229" s="7" t="str">
        <f>IFERROR(__xludf.DUMMYFUNCTION("""COMPUTED_VALUE"""),"Python, Machine Learning, Statistic, Git")</f>
        <v>Python, Machine Learning, Statistic, Git</v>
      </c>
      <c r="K229" s="7" t="str">
        <f>IFERROR(__xludf.DUMMYFUNCTION("""COMPUTED_VALUE"""),"Contract")</f>
        <v>Contract</v>
      </c>
      <c r="L229" s="7" t="str">
        <f>IFERROR(__xludf.DUMMYFUNCTION("""COMPUTED_VALUE"""),"None")</f>
        <v>None</v>
      </c>
      <c r="M229" s="7"/>
      <c r="N229" s="7"/>
      <c r="O229" s="7"/>
    </row>
    <row r="230">
      <c r="A230" s="29">
        <f>IFERROR(__xludf.DUMMYFUNCTION("""COMPUTED_VALUE"""),226.0)</f>
        <v>226</v>
      </c>
      <c r="B230" s="7" t="str">
        <f>IFERROR(__xludf.DUMMYFUNCTION("""COMPUTED_VALUE"""),"vor 17 Tagen")</f>
        <v>vor 17 Tagen</v>
      </c>
      <c r="C230" s="7" t="str">
        <f>IFERROR(__xludf.DUMMYFUNCTION("""COMPUTED_VALUE"""),"IT Business Analyst with testing skills for our Enterprise D...")</f>
        <v>IT Business Analyst with testing skills for our Enterprise D...</v>
      </c>
      <c r="D230" s="7" t="str">
        <f>IFERROR(__xludf.DUMMYFUNCTION("""COMPUTED_VALUE"""),"Deutschland")</f>
        <v>Deutschland</v>
      </c>
      <c r="E230" s="7" t="str">
        <f>IFERROR(__xludf.DUMMYFUNCTION("""COMPUTED_VALUE"""),"Raiffeisen Capital Management")</f>
        <v>Raiffeisen Capital Management</v>
      </c>
      <c r="F230" s="7" t="str">
        <f>IFERROR(__xludf.DUMMYFUNCTION("""COMPUTED_VALUE"""),"60,000 € pro Jahr")</f>
        <v>60,000 € pro Jahr</v>
      </c>
      <c r="G230" s="7">
        <f>IFERROR(__xludf.DUMMYFUNCTION("""COMPUTED_VALUE"""),60000.0)</f>
        <v>60000</v>
      </c>
      <c r="H230" s="7" t="str">
        <f>IFERROR(__xludf.DUMMYFUNCTION("""COMPUTED_VALUE"""),"Jahr")</f>
        <v>Jahr</v>
      </c>
      <c r="I230" s="7">
        <f>IFERROR(__xludf.DUMMYFUNCTION("""COMPUTED_VALUE"""),60000.0)</f>
        <v>60000</v>
      </c>
      <c r="J230" s="7" t="str">
        <f>IFERROR(__xludf.DUMMYFUNCTION("""COMPUTED_VALUE"""),"SQL, Git, Scrum")</f>
        <v>SQL, Git, Scrum</v>
      </c>
      <c r="K230" s="7" t="str">
        <f>IFERROR(__xludf.DUMMYFUNCTION("""COMPUTED_VALUE"""),"No job type data")</f>
        <v>No job type data</v>
      </c>
      <c r="L230" s="7" t="str">
        <f>IFERROR(__xludf.DUMMYFUNCTION("""COMPUTED_VALUE"""),"None")</f>
        <v>None</v>
      </c>
      <c r="M230" s="7"/>
      <c r="N230" s="7"/>
      <c r="O230" s="7"/>
    </row>
    <row r="231">
      <c r="A231" s="29">
        <f>IFERROR(__xludf.DUMMYFUNCTION("""COMPUTED_VALUE"""),227.0)</f>
        <v>227</v>
      </c>
      <c r="B231" s="7" t="str">
        <f>IFERROR(__xludf.DUMMYFUNCTION("""COMPUTED_VALUE"""),"Vor mehr als 30 Tagen")</f>
        <v>Vor mehr als 30 Tagen</v>
      </c>
      <c r="C231" s="7" t="str">
        <f>IFERROR(__xludf.DUMMYFUNCTION("""COMPUTED_VALUE"""),"Data Warehouse / BI Specialist")</f>
        <v>Data Warehouse / BI Specialist</v>
      </c>
      <c r="D231" s="7" t="str">
        <f>IFERROR(__xludf.DUMMYFUNCTION("""COMPUTED_VALUE"""),"Frankfurt am Main")</f>
        <v>Frankfurt am Main</v>
      </c>
      <c r="E231" s="7" t="str">
        <f>IFERROR(__xludf.DUMMYFUNCTION("""COMPUTED_VALUE"""),"NGENA")</f>
        <v>NGENA</v>
      </c>
      <c r="F231" s="7" t="str">
        <f>IFERROR(__xludf.DUMMYFUNCTION("""COMPUTED_VALUE"""),"None")</f>
        <v>None</v>
      </c>
      <c r="G231" s="7" t="str">
        <f>IFERROR(__xludf.DUMMYFUNCTION("""COMPUTED_VALUE"""),"No salary data")</f>
        <v>No salary data</v>
      </c>
      <c r="H231" s="7" t="str">
        <f>IFERROR(__xludf.DUMMYFUNCTION("""COMPUTED_VALUE"""),"No salary data")</f>
        <v>No salary data</v>
      </c>
      <c r="I231" s="7" t="str">
        <f>IFERROR(__xludf.DUMMYFUNCTION("""COMPUTED_VALUE"""),"No salary data")</f>
        <v>No salary data</v>
      </c>
      <c r="J231" s="7" t="str">
        <f>IFERROR(__xludf.DUMMYFUNCTION("""COMPUTED_VALUE"""),"SQL, Tableau, Agile")</f>
        <v>SQL, Tableau, Agile</v>
      </c>
      <c r="K231" s="7" t="str">
        <f>IFERROR(__xludf.DUMMYFUNCTION("""COMPUTED_VALUE"""),"No job type data")</f>
        <v>No job type data</v>
      </c>
      <c r="L231" s="7" t="str">
        <f>IFERROR(__xludf.DUMMYFUNCTION("""COMPUTED_VALUE"""),"None")</f>
        <v>None</v>
      </c>
      <c r="M231" s="7"/>
      <c r="N231" s="7"/>
      <c r="O231" s="7"/>
    </row>
    <row r="232">
      <c r="A232" s="29">
        <f>IFERROR(__xludf.DUMMYFUNCTION("""COMPUTED_VALUE"""),228.0)</f>
        <v>228</v>
      </c>
      <c r="B232" s="7" t="str">
        <f>IFERROR(__xludf.DUMMYFUNCTION("""COMPUTED_VALUE"""),"Vor mehr als 30 Tagen")</f>
        <v>Vor mehr als 30 Tagen</v>
      </c>
      <c r="C232" s="7" t="str">
        <f>IFERROR(__xludf.DUMMYFUNCTION("""COMPUTED_VALUE"""),"Student worker Opportunities for Students in Germany: Softwa...")</f>
        <v>Student worker Opportunities for Students in Germany: Softwa...</v>
      </c>
      <c r="D232" s="7" t="str">
        <f>IFERROR(__xludf.DUMMYFUNCTION("""COMPUTED_VALUE"""),"München")</f>
        <v>München</v>
      </c>
      <c r="E232" s="7" t="str">
        <f>IFERROR(__xludf.DUMMYFUNCTION("""COMPUTED_VALUE"""),"Microsoft")</f>
        <v>Microsoft</v>
      </c>
      <c r="F232" s="7" t="str">
        <f>IFERROR(__xludf.DUMMYFUNCTION("""COMPUTED_VALUE"""),"None")</f>
        <v>None</v>
      </c>
      <c r="G232" s="7" t="str">
        <f>IFERROR(__xludf.DUMMYFUNCTION("""COMPUTED_VALUE"""),"No salary data")</f>
        <v>No salary data</v>
      </c>
      <c r="H232" s="7" t="str">
        <f>IFERROR(__xludf.DUMMYFUNCTION("""COMPUTED_VALUE"""),"No salary data")</f>
        <v>No salary data</v>
      </c>
      <c r="I232" s="7" t="str">
        <f>IFERROR(__xludf.DUMMYFUNCTION("""COMPUTED_VALUE"""),"No salary data")</f>
        <v>No salary data</v>
      </c>
      <c r="J232" s="7" t="str">
        <f>IFERROR(__xludf.DUMMYFUNCTION("""COMPUTED_VALUE"""),"Excel, Machine Learning")</f>
        <v>Excel, Machine Learning</v>
      </c>
      <c r="K232" s="7" t="str">
        <f>IFERROR(__xludf.DUMMYFUNCTION("""COMPUTED_VALUE"""),"No job type data")</f>
        <v>No job type data</v>
      </c>
      <c r="L232" s="7" t="str">
        <f>IFERROR(__xludf.DUMMYFUNCTION("""COMPUTED_VALUE"""),"4,2")</f>
        <v>4,2</v>
      </c>
      <c r="M232" s="7"/>
      <c r="N232" s="7"/>
      <c r="O232" s="7"/>
    </row>
    <row r="233">
      <c r="A233" s="29">
        <f>IFERROR(__xludf.DUMMYFUNCTION("""COMPUTED_VALUE"""),229.0)</f>
        <v>229</v>
      </c>
      <c r="B233" s="7" t="str">
        <f>IFERROR(__xludf.DUMMYFUNCTION("""COMPUTED_VALUE"""),"vor 13 Tagen")</f>
        <v>vor 13 Tagen</v>
      </c>
      <c r="C233" s="7" t="str">
        <f>IFERROR(__xludf.DUMMYFUNCTION("""COMPUTED_VALUE"""),"BI &amp; Data Analytics Solution Architect (f/m/d)")</f>
        <v>BI &amp; Data Analytics Solution Architect (f/m/d)</v>
      </c>
      <c r="D233" s="7" t="str">
        <f>IFERROR(__xludf.DUMMYFUNCTION("""COMPUTED_VALUE"""),"Hamburg")</f>
        <v>Hamburg</v>
      </c>
      <c r="E233" s="7" t="str">
        <f>IFERROR(__xludf.DUMMYFUNCTION("""COMPUTED_VALUE"""),"Aquila Group")</f>
        <v>Aquila Group</v>
      </c>
      <c r="F233" s="7" t="str">
        <f>IFERROR(__xludf.DUMMYFUNCTION("""COMPUTED_VALUE"""),"None")</f>
        <v>None</v>
      </c>
      <c r="G233" s="7" t="str">
        <f>IFERROR(__xludf.DUMMYFUNCTION("""COMPUTED_VALUE"""),"No salary data")</f>
        <v>No salary data</v>
      </c>
      <c r="H233" s="7" t="str">
        <f>IFERROR(__xludf.DUMMYFUNCTION("""COMPUTED_VALUE"""),"No salary data")</f>
        <v>No salary data</v>
      </c>
      <c r="I233" s="7" t="str">
        <f>IFERROR(__xludf.DUMMYFUNCTION("""COMPUTED_VALUE"""),"No salary data")</f>
        <v>No salary data</v>
      </c>
      <c r="J233" s="7" t="str">
        <f>IFERROR(__xludf.DUMMYFUNCTION("""COMPUTED_VALUE"""),"Python, SQL, Excel, Machine Learning")</f>
        <v>Python, SQL, Excel, Machine Learning</v>
      </c>
      <c r="K233" s="7" t="str">
        <f>IFERROR(__xludf.DUMMYFUNCTION("""COMPUTED_VALUE"""),"No job type data")</f>
        <v>No job type data</v>
      </c>
      <c r="L233" s="7" t="str">
        <f>IFERROR(__xludf.DUMMYFUNCTION("""COMPUTED_VALUE"""),"None")</f>
        <v>None</v>
      </c>
      <c r="M233" s="7"/>
      <c r="N233" s="7"/>
      <c r="O233" s="7"/>
    </row>
    <row r="234">
      <c r="A234" s="29">
        <f>IFERROR(__xludf.DUMMYFUNCTION("""COMPUTED_VALUE"""),230.0)</f>
        <v>230</v>
      </c>
      <c r="B234" s="7" t="str">
        <f>IFERROR(__xludf.DUMMYFUNCTION("""COMPUTED_VALUE"""),"Vor mehr als 30 Tagen")</f>
        <v>Vor mehr als 30 Tagen</v>
      </c>
      <c r="C234" s="7" t="str">
        <f>IFERROR(__xludf.DUMMYFUNCTION("""COMPUTED_VALUE"""),"JUNIOR IT CONSULTANT BUSINESS INTELLIGENCE (w/m/d)")</f>
        <v>JUNIOR IT CONSULTANT BUSINESS INTELLIGENCE (w/m/d)</v>
      </c>
      <c r="D234" s="7" t="str">
        <f>IFERROR(__xludf.DUMMYFUNCTION("""COMPUTED_VALUE"""),"Deutschland")</f>
        <v>Deutschland</v>
      </c>
      <c r="E234" s="7" t="str">
        <f>IFERROR(__xludf.DUMMYFUNCTION("""COMPUTED_VALUE"""),"Target Reply")</f>
        <v>Target Reply</v>
      </c>
      <c r="F234" s="7" t="str">
        <f>IFERROR(__xludf.DUMMYFUNCTION("""COMPUTED_VALUE"""),"None")</f>
        <v>None</v>
      </c>
      <c r="G234" s="7" t="str">
        <f>IFERROR(__xludf.DUMMYFUNCTION("""COMPUTED_VALUE"""),"No salary data")</f>
        <v>No salary data</v>
      </c>
      <c r="H234" s="7" t="str">
        <f>IFERROR(__xludf.DUMMYFUNCTION("""COMPUTED_VALUE"""),"No salary data")</f>
        <v>No salary data</v>
      </c>
      <c r="I234" s="7" t="str">
        <f>IFERROR(__xludf.DUMMYFUNCTION("""COMPUTED_VALUE"""),"No salary data")</f>
        <v>No salary data</v>
      </c>
      <c r="J234" s="7" t="str">
        <f>IFERROR(__xludf.DUMMYFUNCTION("""COMPUTED_VALUE"""),"SQL")</f>
        <v>SQL</v>
      </c>
      <c r="K234" s="7" t="str">
        <f>IFERROR(__xludf.DUMMYFUNCTION("""COMPUTED_VALUE"""),"No job type data")</f>
        <v>No job type data</v>
      </c>
      <c r="L234" s="7" t="str">
        <f>IFERROR(__xludf.DUMMYFUNCTION("""COMPUTED_VALUE"""),"None")</f>
        <v>None</v>
      </c>
      <c r="M234" s="7"/>
      <c r="N234" s="7"/>
      <c r="O234" s="7"/>
    </row>
    <row r="235">
      <c r="A235" s="29">
        <f>IFERROR(__xludf.DUMMYFUNCTION("""COMPUTED_VALUE"""),231.0)</f>
        <v>231</v>
      </c>
      <c r="B235" s="7" t="str">
        <f>IFERROR(__xludf.DUMMYFUNCTION("""COMPUTED_VALUE"""),"Vor mehr als 30 Tagen")</f>
        <v>Vor mehr als 30 Tagen</v>
      </c>
      <c r="C235" s="7" t="str">
        <f>IFERROR(__xludf.DUMMYFUNCTION("""COMPUTED_VALUE"""),"Data Engineer")</f>
        <v>Data Engineer</v>
      </c>
      <c r="D235" s="7" t="str">
        <f>IFERROR(__xludf.DUMMYFUNCTION("""COMPUTED_VALUE"""),"Berlin")</f>
        <v>Berlin</v>
      </c>
      <c r="E235" s="7" t="str">
        <f>IFERROR(__xludf.DUMMYFUNCTION("""COMPUTED_VALUE"""),"Oviva")</f>
        <v>Oviva</v>
      </c>
      <c r="F235" s="7" t="str">
        <f>IFERROR(__xludf.DUMMYFUNCTION("""COMPUTED_VALUE"""),"None")</f>
        <v>None</v>
      </c>
      <c r="G235" s="7" t="str">
        <f>IFERROR(__xludf.DUMMYFUNCTION("""COMPUTED_VALUE"""),"No salary data")</f>
        <v>No salary data</v>
      </c>
      <c r="H235" s="7" t="str">
        <f>IFERROR(__xludf.DUMMYFUNCTION("""COMPUTED_VALUE"""),"No salary data")</f>
        <v>No salary data</v>
      </c>
      <c r="I235" s="7" t="str">
        <f>IFERROR(__xludf.DUMMYFUNCTION("""COMPUTED_VALUE"""),"No salary data")</f>
        <v>No salary data</v>
      </c>
      <c r="J235" s="7" t="str">
        <f>IFERROR(__xludf.DUMMYFUNCTION("""COMPUTED_VALUE"""),"Python, SQL, Excel")</f>
        <v>Python, SQL, Excel</v>
      </c>
      <c r="K235" s="7" t="str">
        <f>IFERROR(__xludf.DUMMYFUNCTION("""COMPUTED_VALUE"""),"No job type data")</f>
        <v>No job type data</v>
      </c>
      <c r="L235" s="7" t="str">
        <f>IFERROR(__xludf.DUMMYFUNCTION("""COMPUTED_VALUE"""),"None")</f>
        <v>None</v>
      </c>
      <c r="M235" s="7"/>
      <c r="N235" s="7"/>
      <c r="O235" s="7"/>
    </row>
    <row r="236">
      <c r="A236" s="29">
        <f>IFERROR(__xludf.DUMMYFUNCTION("""COMPUTED_VALUE"""),232.0)</f>
        <v>232</v>
      </c>
      <c r="B236" s="7" t="str">
        <f>IFERROR(__xludf.DUMMYFUNCTION("""COMPUTED_VALUE"""),"Vor mehr als 30 Tagen")</f>
        <v>Vor mehr als 30 Tagen</v>
      </c>
      <c r="C236" s="7" t="str">
        <f>IFERROR(__xludf.DUMMYFUNCTION("""COMPUTED_VALUE"""),"Business Intelligence Developer (w/m/divers)")</f>
        <v>Business Intelligence Developer (w/m/divers)</v>
      </c>
      <c r="D236" s="7" t="str">
        <f>IFERROR(__xludf.DUMMYFUNCTION("""COMPUTED_VALUE"""),"Hamburg")</f>
        <v>Hamburg</v>
      </c>
      <c r="E236" s="7" t="str">
        <f>IFERROR(__xludf.DUMMYFUNCTION("""COMPUTED_VALUE"""),"Otto (GmbH &amp; Co KG)")</f>
        <v>Otto (GmbH &amp; Co KG)</v>
      </c>
      <c r="F236" s="7" t="str">
        <f>IFERROR(__xludf.DUMMYFUNCTION("""COMPUTED_VALUE"""),"None")</f>
        <v>None</v>
      </c>
      <c r="G236" s="7" t="str">
        <f>IFERROR(__xludf.DUMMYFUNCTION("""COMPUTED_VALUE"""),"No salary data")</f>
        <v>No salary data</v>
      </c>
      <c r="H236" s="7" t="str">
        <f>IFERROR(__xludf.DUMMYFUNCTION("""COMPUTED_VALUE"""),"No salary data")</f>
        <v>No salary data</v>
      </c>
      <c r="I236" s="7" t="str">
        <f>IFERROR(__xludf.DUMMYFUNCTION("""COMPUTED_VALUE"""),"No salary data")</f>
        <v>No salary data</v>
      </c>
      <c r="J236" s="7" t="str">
        <f>IFERROR(__xludf.DUMMYFUNCTION("""COMPUTED_VALUE"""),"Python, SQL, Git, Agile")</f>
        <v>Python, SQL, Git, Agile</v>
      </c>
      <c r="K236" s="7" t="str">
        <f>IFERROR(__xludf.DUMMYFUNCTION("""COMPUTED_VALUE"""),"No job type data")</f>
        <v>No job type data</v>
      </c>
      <c r="L236" s="7" t="str">
        <f>IFERROR(__xludf.DUMMYFUNCTION("""COMPUTED_VALUE"""),"3,5")</f>
        <v>3,5</v>
      </c>
      <c r="M236" s="7"/>
      <c r="N236" s="7"/>
      <c r="O236" s="7"/>
    </row>
    <row r="237">
      <c r="A237" s="29">
        <f>IFERROR(__xludf.DUMMYFUNCTION("""COMPUTED_VALUE"""),233.0)</f>
        <v>233</v>
      </c>
      <c r="B237" s="7" t="str">
        <f>IFERROR(__xludf.DUMMYFUNCTION("""COMPUTED_VALUE"""),"Vor mehr als 30 Tagen")</f>
        <v>Vor mehr als 30 Tagen</v>
      </c>
      <c r="C237" s="7" t="str">
        <f>IFERROR(__xludf.DUMMYFUNCTION("""COMPUTED_VALUE"""),"Junior Developer")</f>
        <v>Junior Developer</v>
      </c>
      <c r="D237" s="7" t="str">
        <f>IFERROR(__xludf.DUMMYFUNCTION("""COMPUTED_VALUE"""),"Düsseldorf")</f>
        <v>Düsseldorf</v>
      </c>
      <c r="E237" s="7" t="str">
        <f>IFERROR(__xludf.DUMMYFUNCTION("""COMPUTED_VALUE"""),"Cornerstone OnDemand, Inc.")</f>
        <v>Cornerstone OnDemand, Inc.</v>
      </c>
      <c r="F237" s="7" t="str">
        <f>IFERROR(__xludf.DUMMYFUNCTION("""COMPUTED_VALUE"""),"None")</f>
        <v>None</v>
      </c>
      <c r="G237" s="7" t="str">
        <f>IFERROR(__xludf.DUMMYFUNCTION("""COMPUTED_VALUE"""),"No salary data")</f>
        <v>No salary data</v>
      </c>
      <c r="H237" s="7" t="str">
        <f>IFERROR(__xludf.DUMMYFUNCTION("""COMPUTED_VALUE"""),"No salary data")</f>
        <v>No salary data</v>
      </c>
      <c r="I237" s="7" t="str">
        <f>IFERROR(__xludf.DUMMYFUNCTION("""COMPUTED_VALUE"""),"No salary data")</f>
        <v>No salary data</v>
      </c>
      <c r="J237" s="7"/>
      <c r="K237" s="7" t="str">
        <f>IFERROR(__xludf.DUMMYFUNCTION("""COMPUTED_VALUE"""),"Apprenticeship")</f>
        <v>Apprenticeship</v>
      </c>
      <c r="L237" s="7" t="str">
        <f>IFERROR(__xludf.DUMMYFUNCTION("""COMPUTED_VALUE"""),"None")</f>
        <v>None</v>
      </c>
      <c r="M237" s="7"/>
      <c r="N237" s="7"/>
      <c r="O237" s="7"/>
    </row>
    <row r="238">
      <c r="A238" s="29">
        <f>IFERROR(__xludf.DUMMYFUNCTION("""COMPUTED_VALUE"""),234.0)</f>
        <v>234</v>
      </c>
      <c r="B238" s="7" t="str">
        <f>IFERROR(__xludf.DUMMYFUNCTION("""COMPUTED_VALUE"""),"vor 10 Tagen")</f>
        <v>vor 10 Tagen</v>
      </c>
      <c r="C238" s="7" t="str">
        <f>IFERROR(__xludf.DUMMYFUNCTION("""COMPUTED_VALUE"""),"Platforms and Solutions Architect Research (f/m/d)")</f>
        <v>Platforms and Solutions Architect Research (f/m/d)</v>
      </c>
      <c r="D238" s="7" t="str">
        <f>IFERROR(__xludf.DUMMYFUNCTION("""COMPUTED_VALUE"""),"Hamburg")</f>
        <v>Hamburg</v>
      </c>
      <c r="E238" s="7" t="str">
        <f>IFERROR(__xludf.DUMMYFUNCTION("""COMPUTED_VALUE"""),"Philips")</f>
        <v>Philips</v>
      </c>
      <c r="F238" s="7" t="str">
        <f>IFERROR(__xludf.DUMMYFUNCTION("""COMPUTED_VALUE"""),"None")</f>
        <v>None</v>
      </c>
      <c r="G238" s="7" t="str">
        <f>IFERROR(__xludf.DUMMYFUNCTION("""COMPUTED_VALUE"""),"No salary data")</f>
        <v>No salary data</v>
      </c>
      <c r="H238" s="7" t="str">
        <f>IFERROR(__xludf.DUMMYFUNCTION("""COMPUTED_VALUE"""),"No salary data")</f>
        <v>No salary data</v>
      </c>
      <c r="I238" s="7" t="str">
        <f>IFERROR(__xludf.DUMMYFUNCTION("""COMPUTED_VALUE"""),"No salary data")</f>
        <v>No salary data</v>
      </c>
      <c r="J238" s="7" t="str">
        <f>IFERROR(__xludf.DUMMYFUNCTION("""COMPUTED_VALUE"""),"Python, Excel, Deep Learning, Git, Linux")</f>
        <v>Python, Excel, Deep Learning, Git, Linux</v>
      </c>
      <c r="K238" s="7" t="str">
        <f>IFERROR(__xludf.DUMMYFUNCTION("""COMPUTED_VALUE"""),"No job type data")</f>
        <v>No job type data</v>
      </c>
      <c r="L238" s="7" t="str">
        <f>IFERROR(__xludf.DUMMYFUNCTION("""COMPUTED_VALUE"""),"4,0")</f>
        <v>4,0</v>
      </c>
      <c r="M238" s="7"/>
      <c r="N238" s="7"/>
      <c r="O238" s="7"/>
    </row>
    <row r="239">
      <c r="A239" s="29">
        <f>IFERROR(__xludf.DUMMYFUNCTION("""COMPUTED_VALUE"""),235.0)</f>
        <v>235</v>
      </c>
      <c r="B239" s="7" t="str">
        <f>IFERROR(__xludf.DUMMYFUNCTION("""COMPUTED_VALUE"""),"vor 4 Tagen")</f>
        <v>vor 4 Tagen</v>
      </c>
      <c r="C239" s="7" t="str">
        <f>IFERROR(__xludf.DUMMYFUNCTION("""COMPUTED_VALUE"""),"Praktikum Data Analytics IT-Prozessmanagement")</f>
        <v>Praktikum Data Analytics IT-Prozessmanagement</v>
      </c>
      <c r="D239" s="7" t="str">
        <f>IFERROR(__xludf.DUMMYFUNCTION("""COMPUTED_VALUE"""),"Berlin")</f>
        <v>Berlin</v>
      </c>
      <c r="E239" s="7" t="str">
        <f>IFERROR(__xludf.DUMMYFUNCTION("""COMPUTED_VALUE"""),"FINMAS GmbH")</f>
        <v>FINMAS GmbH</v>
      </c>
      <c r="F239" s="7" t="str">
        <f>IFERROR(__xludf.DUMMYFUNCTION("""COMPUTED_VALUE"""),"None")</f>
        <v>None</v>
      </c>
      <c r="G239" s="7" t="str">
        <f>IFERROR(__xludf.DUMMYFUNCTION("""COMPUTED_VALUE"""),"No salary data")</f>
        <v>No salary data</v>
      </c>
      <c r="H239" s="7" t="str">
        <f>IFERROR(__xludf.DUMMYFUNCTION("""COMPUTED_VALUE"""),"No salary data")</f>
        <v>No salary data</v>
      </c>
      <c r="I239" s="7" t="str">
        <f>IFERROR(__xludf.DUMMYFUNCTION("""COMPUTED_VALUE"""),"No salary data")</f>
        <v>No salary data</v>
      </c>
      <c r="J239" s="7" t="str">
        <f>IFERROR(__xludf.DUMMYFUNCTION("""COMPUTED_VALUE"""),"Python, Excel, Git")</f>
        <v>Python, Excel, Git</v>
      </c>
      <c r="K239" s="7" t="str">
        <f>IFERROR(__xludf.DUMMYFUNCTION("""COMPUTED_VALUE"""),"No job type data")</f>
        <v>No job type data</v>
      </c>
      <c r="L239" s="7" t="str">
        <f>IFERROR(__xludf.DUMMYFUNCTION("""COMPUTED_VALUE"""),"5,0")</f>
        <v>5,0</v>
      </c>
      <c r="M239" s="7"/>
      <c r="N239" s="7"/>
      <c r="O239" s="7"/>
    </row>
    <row r="240">
      <c r="A240" s="29">
        <f>IFERROR(__xludf.DUMMYFUNCTION("""COMPUTED_VALUE"""),236.0)</f>
        <v>236</v>
      </c>
      <c r="B240" s="7" t="str">
        <f>IFERROR(__xludf.DUMMYFUNCTION("""COMPUTED_VALUE"""),"vor 3 Tagen")</f>
        <v>vor 3 Tagen</v>
      </c>
      <c r="C240" s="7" t="str">
        <f>IFERROR(__xludf.DUMMYFUNCTION("""COMPUTED_VALUE"""),"Product Data Analyst (Topic leader within Amplitude)")</f>
        <v>Product Data Analyst (Topic leader within Amplitude)</v>
      </c>
      <c r="D240" s="7" t="str">
        <f>IFERROR(__xludf.DUMMYFUNCTION("""COMPUTED_VALUE"""),"Berlin")</f>
        <v>Berlin</v>
      </c>
      <c r="E240" s="7" t="str">
        <f>IFERROR(__xludf.DUMMYFUNCTION("""COMPUTED_VALUE"""),"Darwin Recruitment")</f>
        <v>Darwin Recruitment</v>
      </c>
      <c r="F240" s="7" t="str">
        <f>IFERROR(__xludf.DUMMYFUNCTION("""COMPUTED_VALUE"""),"None")</f>
        <v>None</v>
      </c>
      <c r="G240" s="7" t="str">
        <f>IFERROR(__xludf.DUMMYFUNCTION("""COMPUTED_VALUE"""),"No salary data")</f>
        <v>No salary data</v>
      </c>
      <c r="H240" s="7" t="str">
        <f>IFERROR(__xludf.DUMMYFUNCTION("""COMPUTED_VALUE"""),"No salary data")</f>
        <v>No salary data</v>
      </c>
      <c r="I240" s="7" t="str">
        <f>IFERROR(__xludf.DUMMYFUNCTION("""COMPUTED_VALUE"""),"No salary data")</f>
        <v>No salary data</v>
      </c>
      <c r="J240" s="7" t="str">
        <f>IFERROR(__xludf.DUMMYFUNCTION("""COMPUTED_VALUE"""),"Python, SQL, Excel")</f>
        <v>Python, SQL, Excel</v>
      </c>
      <c r="K240" s="7" t="str">
        <f>IFERROR(__xludf.DUMMYFUNCTION("""COMPUTED_VALUE"""),"No job type data")</f>
        <v>No job type data</v>
      </c>
      <c r="L240" s="7" t="str">
        <f>IFERROR(__xludf.DUMMYFUNCTION("""COMPUTED_VALUE"""),"None")</f>
        <v>None</v>
      </c>
      <c r="M240" s="7"/>
      <c r="N240" s="7"/>
      <c r="O240" s="7"/>
    </row>
    <row r="241">
      <c r="A241" s="29">
        <f>IFERROR(__xludf.DUMMYFUNCTION("""COMPUTED_VALUE"""),237.0)</f>
        <v>237</v>
      </c>
      <c r="B241" s="7" t="str">
        <f>IFERROR(__xludf.DUMMYFUNCTION("""COMPUTED_VALUE"""),"vor 28 Tagen")</f>
        <v>vor 28 Tagen</v>
      </c>
      <c r="C241" s="7" t="str">
        <f>IFERROR(__xludf.DUMMYFUNCTION("""COMPUTED_VALUE"""),"Junior Analyst EU Power &amp; Carbon Markets")</f>
        <v>Junior Analyst EU Power &amp; Carbon Markets</v>
      </c>
      <c r="D241" s="7" t="str">
        <f>IFERROR(__xludf.DUMMYFUNCTION("""COMPUTED_VALUE"""),"Karlsruhe")</f>
        <v>Karlsruhe</v>
      </c>
      <c r="E241" s="7" t="str">
        <f>IFERROR(__xludf.DUMMYFUNCTION("""COMPUTED_VALUE"""),"RELX Group")</f>
        <v>RELX Group</v>
      </c>
      <c r="F241" s="7" t="str">
        <f>IFERROR(__xludf.DUMMYFUNCTION("""COMPUTED_VALUE"""),"None")</f>
        <v>None</v>
      </c>
      <c r="G241" s="7" t="str">
        <f>IFERROR(__xludf.DUMMYFUNCTION("""COMPUTED_VALUE"""),"No salary data")</f>
        <v>No salary data</v>
      </c>
      <c r="H241" s="7" t="str">
        <f>IFERROR(__xludf.DUMMYFUNCTION("""COMPUTED_VALUE"""),"No salary data")</f>
        <v>No salary data</v>
      </c>
      <c r="I241" s="7" t="str">
        <f>IFERROR(__xludf.DUMMYFUNCTION("""COMPUTED_VALUE"""),"No salary data")</f>
        <v>No salary data</v>
      </c>
      <c r="J241" s="7" t="str">
        <f>IFERROR(__xludf.DUMMYFUNCTION("""COMPUTED_VALUE"""),"Python, SQL, Excel")</f>
        <v>Python, SQL, Excel</v>
      </c>
      <c r="K241" s="7" t="str">
        <f>IFERROR(__xludf.DUMMYFUNCTION("""COMPUTED_VALUE"""),"No job type data")</f>
        <v>No job type data</v>
      </c>
      <c r="L241" s="7" t="str">
        <f>IFERROR(__xludf.DUMMYFUNCTION("""COMPUTED_VALUE"""),"None")</f>
        <v>None</v>
      </c>
      <c r="M241" s="7"/>
      <c r="N241" s="7"/>
      <c r="O241" s="7"/>
    </row>
    <row r="242">
      <c r="A242" s="29">
        <f>IFERROR(__xludf.DUMMYFUNCTION("""COMPUTED_VALUE"""),238.0)</f>
        <v>238</v>
      </c>
      <c r="B242" s="7" t="str">
        <f>IFERROR(__xludf.DUMMYFUNCTION("""COMPUTED_VALUE"""),"vor 25 Tagen")</f>
        <v>vor 25 Tagen</v>
      </c>
      <c r="C242" s="7" t="str">
        <f>IFERROR(__xludf.DUMMYFUNCTION("""COMPUTED_VALUE"""),"Business Analyst / Data Analyst (m/w/d) Marketing")</f>
        <v>Business Analyst / Data Analyst (m/w/d) Marketing</v>
      </c>
      <c r="D242" s="7" t="str">
        <f>IFERROR(__xludf.DUMMYFUNCTION("""COMPUTED_VALUE"""),"Baden-Württemberg")</f>
        <v>Baden-Württemberg</v>
      </c>
      <c r="E242" s="7" t="str">
        <f>IFERROR(__xludf.DUMMYFUNCTION("""COMPUTED_VALUE"""),"VPV Lebensversicherungs AG")</f>
        <v>VPV Lebensversicherungs AG</v>
      </c>
      <c r="F242" s="7" t="str">
        <f>IFERROR(__xludf.DUMMYFUNCTION("""COMPUTED_VALUE"""),"None")</f>
        <v>None</v>
      </c>
      <c r="G242" s="7" t="str">
        <f>IFERROR(__xludf.DUMMYFUNCTION("""COMPUTED_VALUE"""),"No salary data")</f>
        <v>No salary data</v>
      </c>
      <c r="H242" s="7" t="str">
        <f>IFERROR(__xludf.DUMMYFUNCTION("""COMPUTED_VALUE"""),"No salary data")</f>
        <v>No salary data</v>
      </c>
      <c r="I242" s="7" t="str">
        <f>IFERROR(__xludf.DUMMYFUNCTION("""COMPUTED_VALUE"""),"No salary data")</f>
        <v>No salary data</v>
      </c>
      <c r="J242" s="7" t="str">
        <f>IFERROR(__xludf.DUMMYFUNCTION("""COMPUTED_VALUE"""),"Python, SQL")</f>
        <v>Python, SQL</v>
      </c>
      <c r="K242" s="7" t="str">
        <f>IFERROR(__xludf.DUMMYFUNCTION("""COMPUTED_VALUE"""),"No job type data")</f>
        <v>No job type data</v>
      </c>
      <c r="L242" s="7" t="str">
        <f>IFERROR(__xludf.DUMMYFUNCTION("""COMPUTED_VALUE"""),"3,0")</f>
        <v>3,0</v>
      </c>
      <c r="M242" s="7"/>
      <c r="N242" s="7"/>
      <c r="O242" s="7"/>
    </row>
    <row r="243">
      <c r="A243" s="29">
        <f>IFERROR(__xludf.DUMMYFUNCTION("""COMPUTED_VALUE"""),239.0)</f>
        <v>239</v>
      </c>
      <c r="B243" s="7" t="str">
        <f>IFERROR(__xludf.DUMMYFUNCTION("""COMPUTED_VALUE"""),"vor 24 Tagen")</f>
        <v>vor 24 Tagen</v>
      </c>
      <c r="C243" s="7" t="str">
        <f>IFERROR(__xludf.DUMMYFUNCTION("""COMPUTED_VALUE"""),"Consultant Data Science (m/w/d)")</f>
        <v>Consultant Data Science (m/w/d)</v>
      </c>
      <c r="D243" s="7" t="str">
        <f>IFERROR(__xludf.DUMMYFUNCTION("""COMPUTED_VALUE"""),"Heidelberg")</f>
        <v>Heidelberg</v>
      </c>
      <c r="E243" s="7" t="str">
        <f>IFERROR(__xludf.DUMMYFUNCTION("""COMPUTED_VALUE"""),"accantec group")</f>
        <v>accantec group</v>
      </c>
      <c r="F243" s="7" t="str">
        <f>IFERROR(__xludf.DUMMYFUNCTION("""COMPUTED_VALUE"""),"None")</f>
        <v>None</v>
      </c>
      <c r="G243" s="7" t="str">
        <f>IFERROR(__xludf.DUMMYFUNCTION("""COMPUTED_VALUE"""),"No salary data")</f>
        <v>No salary data</v>
      </c>
      <c r="H243" s="7" t="str">
        <f>IFERROR(__xludf.DUMMYFUNCTION("""COMPUTED_VALUE"""),"No salary data")</f>
        <v>No salary data</v>
      </c>
      <c r="I243" s="7" t="str">
        <f>IFERROR(__xludf.DUMMYFUNCTION("""COMPUTED_VALUE"""),"No salary data")</f>
        <v>No salary data</v>
      </c>
      <c r="J243" s="7" t="str">
        <f>IFERROR(__xludf.DUMMYFUNCTION("""COMPUTED_VALUE"""),"Python, SQL, Tableau, Machine Learning, Agile")</f>
        <v>Python, SQL, Tableau, Machine Learning, Agile</v>
      </c>
      <c r="K243" s="7" t="str">
        <f>IFERROR(__xludf.DUMMYFUNCTION("""COMPUTED_VALUE"""),"No job type data")</f>
        <v>No job type data</v>
      </c>
      <c r="L243" s="7" t="str">
        <f>IFERROR(__xludf.DUMMYFUNCTION("""COMPUTED_VALUE"""),"None")</f>
        <v>None</v>
      </c>
      <c r="M243" s="7"/>
      <c r="N243" s="7"/>
      <c r="O243" s="7"/>
    </row>
    <row r="244">
      <c r="A244" s="29">
        <f>IFERROR(__xludf.DUMMYFUNCTION("""COMPUTED_VALUE"""),240.0)</f>
        <v>240</v>
      </c>
      <c r="B244" s="7" t="str">
        <f>IFERROR(__xludf.DUMMYFUNCTION("""COMPUTED_VALUE"""),"Vor mehr als 30 Tagen")</f>
        <v>Vor mehr als 30 Tagen</v>
      </c>
      <c r="C244" s="7" t="str">
        <f>IFERROR(__xludf.DUMMYFUNCTION("""COMPUTED_VALUE"""),"Junior Data Science Consultant Life Science (x/f/m)")</f>
        <v>Junior Data Science Consultant Life Science (x/f/m)</v>
      </c>
      <c r="D244" s="7" t="str">
        <f>IFERROR(__xludf.DUMMYFUNCTION("""COMPUTED_VALUE"""),"Berlin")</f>
        <v>Berlin</v>
      </c>
      <c r="E244" s="7" t="str">
        <f>IFERROR(__xludf.DUMMYFUNCTION("""COMPUTED_VALUE"""),"idalab GmbH")</f>
        <v>idalab GmbH</v>
      </c>
      <c r="F244" s="7" t="str">
        <f>IFERROR(__xludf.DUMMYFUNCTION("""COMPUTED_VALUE"""),"None")</f>
        <v>None</v>
      </c>
      <c r="G244" s="7" t="str">
        <f>IFERROR(__xludf.DUMMYFUNCTION("""COMPUTED_VALUE"""),"No salary data")</f>
        <v>No salary data</v>
      </c>
      <c r="H244" s="7" t="str">
        <f>IFERROR(__xludf.DUMMYFUNCTION("""COMPUTED_VALUE"""),"No salary data")</f>
        <v>No salary data</v>
      </c>
      <c r="I244" s="7" t="str">
        <f>IFERROR(__xludf.DUMMYFUNCTION("""COMPUTED_VALUE"""),"No salary data")</f>
        <v>No salary data</v>
      </c>
      <c r="J244" s="7" t="str">
        <f>IFERROR(__xludf.DUMMYFUNCTION("""COMPUTED_VALUE"""),"Python, SQL, Machine Learning")</f>
        <v>Python, SQL, Machine Learning</v>
      </c>
      <c r="K244" s="7" t="str">
        <f>IFERROR(__xludf.DUMMYFUNCTION("""COMPUTED_VALUE"""),"No job type data")</f>
        <v>No job type data</v>
      </c>
      <c r="L244" s="7" t="str">
        <f>IFERROR(__xludf.DUMMYFUNCTION("""COMPUTED_VALUE"""),"None")</f>
        <v>None</v>
      </c>
      <c r="M244" s="7"/>
      <c r="N244" s="7"/>
      <c r="O244" s="7"/>
    </row>
    <row r="245">
      <c r="A245" s="29">
        <f>IFERROR(__xludf.DUMMYFUNCTION("""COMPUTED_VALUE"""),241.0)</f>
        <v>241</v>
      </c>
      <c r="B245" s="7" t="str">
        <f>IFERROR(__xludf.DUMMYFUNCTION("""COMPUTED_VALUE"""),"vor 24 Tagen")</f>
        <v>vor 24 Tagen</v>
      </c>
      <c r="C245" s="7" t="str">
        <f>IFERROR(__xludf.DUMMYFUNCTION("""COMPUTED_VALUE"""),"Data Operation Analyst (f/m/d)")</f>
        <v>Data Operation Analyst (f/m/d)</v>
      </c>
      <c r="D245" s="7" t="str">
        <f>IFERROR(__xludf.DUMMYFUNCTION("""COMPUTED_VALUE"""),"Frankfurt am Main")</f>
        <v>Frankfurt am Main</v>
      </c>
      <c r="E245" s="7" t="str">
        <f>IFERROR(__xludf.DUMMYFUNCTION("""COMPUTED_VALUE"""),"PwC")</f>
        <v>PwC</v>
      </c>
      <c r="F245" s="7" t="str">
        <f>IFERROR(__xludf.DUMMYFUNCTION("""COMPUTED_VALUE"""),"None")</f>
        <v>None</v>
      </c>
      <c r="G245" s="7" t="str">
        <f>IFERROR(__xludf.DUMMYFUNCTION("""COMPUTED_VALUE"""),"No salary data")</f>
        <v>No salary data</v>
      </c>
      <c r="H245" s="7" t="str">
        <f>IFERROR(__xludf.DUMMYFUNCTION("""COMPUTED_VALUE"""),"No salary data")</f>
        <v>No salary data</v>
      </c>
      <c r="I245" s="7" t="str">
        <f>IFERROR(__xludf.DUMMYFUNCTION("""COMPUTED_VALUE"""),"No salary data")</f>
        <v>No salary data</v>
      </c>
      <c r="J245" s="7" t="str">
        <f>IFERROR(__xludf.DUMMYFUNCTION("""COMPUTED_VALUE"""),"Git")</f>
        <v>Git</v>
      </c>
      <c r="K245" s="7" t="str">
        <f>IFERROR(__xludf.DUMMYFUNCTION("""COMPUTED_VALUE"""),"No job type data")</f>
        <v>No job type data</v>
      </c>
      <c r="L245" s="7" t="str">
        <f>IFERROR(__xludf.DUMMYFUNCTION("""COMPUTED_VALUE"""),"4,0")</f>
        <v>4,0</v>
      </c>
      <c r="M245" s="7"/>
      <c r="N245" s="7"/>
      <c r="O245" s="7"/>
    </row>
    <row r="246">
      <c r="A246" s="29">
        <f>IFERROR(__xludf.DUMMYFUNCTION("""COMPUTED_VALUE"""),242.0)</f>
        <v>242</v>
      </c>
      <c r="B246" s="7" t="str">
        <f>IFERROR(__xludf.DUMMYFUNCTION("""COMPUTED_VALUE"""),"Vor mehr als 30 Tagen")</f>
        <v>Vor mehr als 30 Tagen</v>
      </c>
      <c r="C246" s="7" t="str">
        <f>IFERROR(__xludf.DUMMYFUNCTION("""COMPUTED_VALUE"""),"Consultant / Datenpionier Data and Analytics (m/w/d)")</f>
        <v>Consultant / Datenpionier Data and Analytics (m/w/d)</v>
      </c>
      <c r="D246" s="7" t="str">
        <f>IFERROR(__xludf.DUMMYFUNCTION("""COMPUTED_VALUE"""),"Hamburg")</f>
        <v>Hamburg</v>
      </c>
      <c r="E246" s="7" t="str">
        <f>IFERROR(__xludf.DUMMYFUNCTION("""COMPUTED_VALUE"""),"PPI Aktiengesellschaft")</f>
        <v>PPI Aktiengesellschaft</v>
      </c>
      <c r="F246" s="7" t="str">
        <f>IFERROR(__xludf.DUMMYFUNCTION("""COMPUTED_VALUE"""),"None")</f>
        <v>None</v>
      </c>
      <c r="G246" s="7" t="str">
        <f>IFERROR(__xludf.DUMMYFUNCTION("""COMPUTED_VALUE"""),"No salary data")</f>
        <v>No salary data</v>
      </c>
      <c r="H246" s="7" t="str">
        <f>IFERROR(__xludf.DUMMYFUNCTION("""COMPUTED_VALUE"""),"No salary data")</f>
        <v>No salary data</v>
      </c>
      <c r="I246" s="7" t="str">
        <f>IFERROR(__xludf.DUMMYFUNCTION("""COMPUTED_VALUE"""),"No salary data")</f>
        <v>No salary data</v>
      </c>
      <c r="J246" s="7"/>
      <c r="K246" s="7" t="str">
        <f>IFERROR(__xludf.DUMMYFUNCTION("""COMPUTED_VALUE"""),"No job type data")</f>
        <v>No job type data</v>
      </c>
      <c r="L246" s="7" t="str">
        <f>IFERROR(__xludf.DUMMYFUNCTION("""COMPUTED_VALUE"""),"None")</f>
        <v>None</v>
      </c>
      <c r="M246" s="7"/>
      <c r="N246" s="7"/>
      <c r="O246" s="7"/>
    </row>
    <row r="247">
      <c r="A247" s="29">
        <f>IFERROR(__xludf.DUMMYFUNCTION("""COMPUTED_VALUE"""),243.0)</f>
        <v>243</v>
      </c>
      <c r="B247" s="7" t="str">
        <f>IFERROR(__xludf.DUMMYFUNCTION("""COMPUTED_VALUE"""),"vor 3 Tagen")</f>
        <v>vor 3 Tagen</v>
      </c>
      <c r="C247" s="7" t="str">
        <f>IFERROR(__xludf.DUMMYFUNCTION("""COMPUTED_VALUE"""),"Internship - Digital Analytics &amp; Consumer Insights (m/f/d)")</f>
        <v>Internship - Digital Analytics &amp; Consumer Insights (m/f/d)</v>
      </c>
      <c r="D247" s="7" t="str">
        <f>IFERROR(__xludf.DUMMYFUNCTION("""COMPUTED_VALUE"""),"Herzogenaurach")</f>
        <v>Herzogenaurach</v>
      </c>
      <c r="E247" s="7" t="str">
        <f>IFERROR(__xludf.DUMMYFUNCTION("""COMPUTED_VALUE"""),"adidas")</f>
        <v>adidas</v>
      </c>
      <c r="F247" s="7" t="str">
        <f>IFERROR(__xludf.DUMMYFUNCTION("""COMPUTED_VALUE"""),"None")</f>
        <v>None</v>
      </c>
      <c r="G247" s="7" t="str">
        <f>IFERROR(__xludf.DUMMYFUNCTION("""COMPUTED_VALUE"""),"No salary data")</f>
        <v>No salary data</v>
      </c>
      <c r="H247" s="7" t="str">
        <f>IFERROR(__xludf.DUMMYFUNCTION("""COMPUTED_VALUE"""),"No salary data")</f>
        <v>No salary data</v>
      </c>
      <c r="I247" s="7" t="str">
        <f>IFERROR(__xludf.DUMMYFUNCTION("""COMPUTED_VALUE"""),"No salary data")</f>
        <v>No salary data</v>
      </c>
      <c r="J247" s="7" t="str">
        <f>IFERROR(__xludf.DUMMYFUNCTION("""COMPUTED_VALUE"""),"SQL, Tableau, Excel, Git")</f>
        <v>SQL, Tableau, Excel, Git</v>
      </c>
      <c r="K247" s="7" t="str">
        <f>IFERROR(__xludf.DUMMYFUNCTION("""COMPUTED_VALUE"""),"Internship")</f>
        <v>Internship</v>
      </c>
      <c r="L247" s="7" t="str">
        <f>IFERROR(__xludf.DUMMYFUNCTION("""COMPUTED_VALUE"""),"4,0")</f>
        <v>4,0</v>
      </c>
      <c r="M247" s="7"/>
      <c r="N247" s="7"/>
      <c r="O247" s="7"/>
    </row>
    <row r="248">
      <c r="A248" s="29">
        <f>IFERROR(__xludf.DUMMYFUNCTION("""COMPUTED_VALUE"""),244.0)</f>
        <v>244</v>
      </c>
      <c r="B248" s="7" t="str">
        <f>IFERROR(__xludf.DUMMYFUNCTION("""COMPUTED_VALUE"""),"Vor mehr als 30 Tagen")</f>
        <v>Vor mehr als 30 Tagen</v>
      </c>
      <c r="C248" s="7" t="str">
        <f>IFERROR(__xludf.DUMMYFUNCTION("""COMPUTED_VALUE"""),"PraktikantIn Data Science &amp; Management Consulting (m/f/x)")</f>
        <v>PraktikantIn Data Science &amp; Management Consulting (m/f/x)</v>
      </c>
      <c r="D248" s="7" t="str">
        <f>IFERROR(__xludf.DUMMYFUNCTION("""COMPUTED_VALUE"""),"München")</f>
        <v>München</v>
      </c>
      <c r="E248" s="7" t="str">
        <f>IFERROR(__xludf.DUMMYFUNCTION("""COMPUTED_VALUE"""),"Celonis")</f>
        <v>Celonis</v>
      </c>
      <c r="F248" s="7" t="str">
        <f>IFERROR(__xludf.DUMMYFUNCTION("""COMPUTED_VALUE"""),"None")</f>
        <v>None</v>
      </c>
      <c r="G248" s="7" t="str">
        <f>IFERROR(__xludf.DUMMYFUNCTION("""COMPUTED_VALUE"""),"No salary data")</f>
        <v>No salary data</v>
      </c>
      <c r="H248" s="7" t="str">
        <f>IFERROR(__xludf.DUMMYFUNCTION("""COMPUTED_VALUE"""),"No salary data")</f>
        <v>No salary data</v>
      </c>
      <c r="I248" s="7" t="str">
        <f>IFERROR(__xludf.DUMMYFUNCTION("""COMPUTED_VALUE"""),"No salary data")</f>
        <v>No salary data</v>
      </c>
      <c r="J248" s="7" t="str">
        <f>IFERROR(__xludf.DUMMYFUNCTION("""COMPUTED_VALUE"""),"SQL")</f>
        <v>SQL</v>
      </c>
      <c r="K248" s="7" t="str">
        <f>IFERROR(__xludf.DUMMYFUNCTION("""COMPUTED_VALUE"""),"No job type data")</f>
        <v>No job type data</v>
      </c>
      <c r="L248" s="7" t="str">
        <f>IFERROR(__xludf.DUMMYFUNCTION("""COMPUTED_VALUE"""),"4,3")</f>
        <v>4,3</v>
      </c>
      <c r="M248" s="7"/>
      <c r="N248" s="7"/>
      <c r="O248" s="7"/>
    </row>
    <row r="249">
      <c r="A249" s="29">
        <f>IFERROR(__xludf.DUMMYFUNCTION("""COMPUTED_VALUE"""),245.0)</f>
        <v>245</v>
      </c>
      <c r="B249" s="7" t="str">
        <f>IFERROR(__xludf.DUMMYFUNCTION("""COMPUTED_VALUE"""),"vor 17 Tagen")</f>
        <v>vor 17 Tagen</v>
      </c>
      <c r="C249" s="7" t="str">
        <f>IFERROR(__xludf.DUMMYFUNCTION("""COMPUTED_VALUE"""),"2279 - Junior Consultant - Real World Analytics")</f>
        <v>2279 - Junior Consultant - Real World Analytics</v>
      </c>
      <c r="D249" s="7" t="str">
        <f>IFERROR(__xludf.DUMMYFUNCTION("""COMPUTED_VALUE"""),"Berlin")</f>
        <v>Berlin</v>
      </c>
      <c r="E249" s="7" t="str">
        <f>IFERROR(__xludf.DUMMYFUNCTION("""COMPUTED_VALUE"""),"Cytel, Ingress-Health HWM GmbH")</f>
        <v>Cytel, Ingress-Health HWM GmbH</v>
      </c>
      <c r="F249" s="7" t="str">
        <f>IFERROR(__xludf.DUMMYFUNCTION("""COMPUTED_VALUE"""),"None")</f>
        <v>None</v>
      </c>
      <c r="G249" s="7" t="str">
        <f>IFERROR(__xludf.DUMMYFUNCTION("""COMPUTED_VALUE"""),"No salary data")</f>
        <v>No salary data</v>
      </c>
      <c r="H249" s="7" t="str">
        <f>IFERROR(__xludf.DUMMYFUNCTION("""COMPUTED_VALUE"""),"No salary data")</f>
        <v>No salary data</v>
      </c>
      <c r="I249" s="7" t="str">
        <f>IFERROR(__xludf.DUMMYFUNCTION("""COMPUTED_VALUE"""),"No salary data")</f>
        <v>No salary data</v>
      </c>
      <c r="J249" s="7" t="str">
        <f>IFERROR(__xludf.DUMMYFUNCTION("""COMPUTED_VALUE"""),"Excel, Statistic")</f>
        <v>Excel, Statistic</v>
      </c>
      <c r="K249" s="7" t="str">
        <f>IFERROR(__xludf.DUMMYFUNCTION("""COMPUTED_VALUE"""),"Contract")</f>
        <v>Contract</v>
      </c>
      <c r="L249" s="7" t="str">
        <f>IFERROR(__xludf.DUMMYFUNCTION("""COMPUTED_VALUE"""),"None")</f>
        <v>None</v>
      </c>
      <c r="M249" s="7"/>
      <c r="N249" s="7"/>
      <c r="O249" s="7"/>
    </row>
    <row r="250">
      <c r="A250" s="29">
        <f>IFERROR(__xludf.DUMMYFUNCTION("""COMPUTED_VALUE"""),246.0)</f>
        <v>246</v>
      </c>
      <c r="B250" s="7" t="str">
        <f>IFERROR(__xludf.DUMMYFUNCTION("""COMPUTED_VALUE"""),"Vor mehr als 30 Tagen")</f>
        <v>Vor mehr als 30 Tagen</v>
      </c>
      <c r="C250" s="7" t="str">
        <f>IFERROR(__xludf.DUMMYFUNCTION("""COMPUTED_VALUE"""),"Data Engineer - Data Lake (f/m/x)")</f>
        <v>Data Engineer - Data Lake (f/m/x)</v>
      </c>
      <c r="D250" s="7" t="str">
        <f>IFERROR(__xludf.DUMMYFUNCTION("""COMPUTED_VALUE"""),"Deutschland")</f>
        <v>Deutschland</v>
      </c>
      <c r="E250" s="7" t="str">
        <f>IFERROR(__xludf.DUMMYFUNCTION("""COMPUTED_VALUE"""),"Raiffeisen Capital Management")</f>
        <v>Raiffeisen Capital Management</v>
      </c>
      <c r="F250" s="7" t="str">
        <f>IFERROR(__xludf.DUMMYFUNCTION("""COMPUTED_VALUE"""),"60,000 € pro Jahr")</f>
        <v>60,000 € pro Jahr</v>
      </c>
      <c r="G250" s="7">
        <f>IFERROR(__xludf.DUMMYFUNCTION("""COMPUTED_VALUE"""),60000.0)</f>
        <v>60000</v>
      </c>
      <c r="H250" s="7" t="str">
        <f>IFERROR(__xludf.DUMMYFUNCTION("""COMPUTED_VALUE"""),"Jahr")</f>
        <v>Jahr</v>
      </c>
      <c r="I250" s="7">
        <f>IFERROR(__xludf.DUMMYFUNCTION("""COMPUTED_VALUE"""),60000.0)</f>
        <v>60000</v>
      </c>
      <c r="J250" s="7" t="str">
        <f>IFERROR(__xludf.DUMMYFUNCTION("""COMPUTED_VALUE"""),"Python, Git, Agile")</f>
        <v>Python, Git, Agile</v>
      </c>
      <c r="K250" s="7" t="str">
        <f>IFERROR(__xludf.DUMMYFUNCTION("""COMPUTED_VALUE"""),"No job type data")</f>
        <v>No job type data</v>
      </c>
      <c r="L250" s="7" t="str">
        <f>IFERROR(__xludf.DUMMYFUNCTION("""COMPUTED_VALUE"""),"None")</f>
        <v>None</v>
      </c>
      <c r="M250" s="7"/>
      <c r="N250" s="7"/>
      <c r="O250" s="7"/>
    </row>
    <row r="251">
      <c r="A251" s="29">
        <f>IFERROR(__xludf.DUMMYFUNCTION("""COMPUTED_VALUE"""),247.0)</f>
        <v>247</v>
      </c>
      <c r="B251" s="7" t="str">
        <f>IFERROR(__xludf.DUMMYFUNCTION("""COMPUTED_VALUE"""),"vor 3 Tagen")</f>
        <v>vor 3 Tagen</v>
      </c>
      <c r="C251" s="7" t="str">
        <f>IFERROR(__xludf.DUMMYFUNCTION("""COMPUTED_VALUE"""),"Werkstudent (w/m/d) Data &amp; Analytics")</f>
        <v>Werkstudent (w/m/d) Data &amp; Analytics</v>
      </c>
      <c r="D251" s="7" t="str">
        <f>IFERROR(__xludf.DUMMYFUNCTION("""COMPUTED_VALUE"""),"Hamburg")</f>
        <v>Hamburg</v>
      </c>
      <c r="E251" s="7" t="str">
        <f>IFERROR(__xludf.DUMMYFUNCTION("""COMPUTED_VALUE"""),"adesso SE")</f>
        <v>adesso SE</v>
      </c>
      <c r="F251" s="7" t="str">
        <f>IFERROR(__xludf.DUMMYFUNCTION("""COMPUTED_VALUE"""),"None")</f>
        <v>None</v>
      </c>
      <c r="G251" s="7" t="str">
        <f>IFERROR(__xludf.DUMMYFUNCTION("""COMPUTED_VALUE"""),"No salary data")</f>
        <v>No salary data</v>
      </c>
      <c r="H251" s="7" t="str">
        <f>IFERROR(__xludf.DUMMYFUNCTION("""COMPUTED_VALUE"""),"No salary data")</f>
        <v>No salary data</v>
      </c>
      <c r="I251" s="7" t="str">
        <f>IFERROR(__xludf.DUMMYFUNCTION("""COMPUTED_VALUE"""),"No salary data")</f>
        <v>No salary data</v>
      </c>
      <c r="J251" s="7" t="str">
        <f>IFERROR(__xludf.DUMMYFUNCTION("""COMPUTED_VALUE"""),"Excel, Git")</f>
        <v>Excel, Git</v>
      </c>
      <c r="K251" s="7" t="str">
        <f>IFERROR(__xludf.DUMMYFUNCTION("""COMPUTED_VALUE"""),"No job type data")</f>
        <v>No job type data</v>
      </c>
      <c r="L251" s="7" t="str">
        <f>IFERROR(__xludf.DUMMYFUNCTION("""COMPUTED_VALUE"""),"1,7")</f>
        <v>1,7</v>
      </c>
      <c r="M251" s="7"/>
      <c r="N251" s="7"/>
      <c r="O251" s="7"/>
    </row>
    <row r="252">
      <c r="A252" s="29">
        <f>IFERROR(__xludf.DUMMYFUNCTION("""COMPUTED_VALUE"""),248.0)</f>
        <v>248</v>
      </c>
      <c r="B252" s="7" t="str">
        <f>IFERROR(__xludf.DUMMYFUNCTION("""COMPUTED_VALUE"""),"vor 10 Tagen")</f>
        <v>vor 10 Tagen</v>
      </c>
      <c r="C252" s="7" t="str">
        <f>IFERROR(__xludf.DUMMYFUNCTION("""COMPUTED_VALUE"""),"Research Software Engineer for advanced image annotation too...")</f>
        <v>Research Software Engineer for advanced image annotation too...</v>
      </c>
      <c r="D252" s="7" t="str">
        <f>IFERROR(__xludf.DUMMYFUNCTION("""COMPUTED_VALUE"""),"Heidelberg")</f>
        <v>Heidelberg</v>
      </c>
      <c r="E252" s="7" t="str">
        <f>IFERROR(__xludf.DUMMYFUNCTION("""COMPUTED_VALUE"""),"Deutsches Krebsforschungszentrum")</f>
        <v>Deutsches Krebsforschungszentrum</v>
      </c>
      <c r="F252" s="7" t="str">
        <f>IFERROR(__xludf.DUMMYFUNCTION("""COMPUTED_VALUE"""),"None")</f>
        <v>None</v>
      </c>
      <c r="G252" s="7" t="str">
        <f>IFERROR(__xludf.DUMMYFUNCTION("""COMPUTED_VALUE"""),"No salary data")</f>
        <v>No salary data</v>
      </c>
      <c r="H252" s="7" t="str">
        <f>IFERROR(__xludf.DUMMYFUNCTION("""COMPUTED_VALUE"""),"No salary data")</f>
        <v>No salary data</v>
      </c>
      <c r="I252" s="7" t="str">
        <f>IFERROR(__xludf.DUMMYFUNCTION("""COMPUTED_VALUE"""),"No salary data")</f>
        <v>No salary data</v>
      </c>
      <c r="J252" s="7" t="str">
        <f>IFERROR(__xludf.DUMMYFUNCTION("""COMPUTED_VALUE"""),"Python, Machine Learning, Statistic")</f>
        <v>Python, Machine Learning, Statistic</v>
      </c>
      <c r="K252" s="7" t="str">
        <f>IFERROR(__xludf.DUMMYFUNCTION("""COMPUTED_VALUE"""),"Part-Time")</f>
        <v>Part-Time</v>
      </c>
      <c r="L252" s="7" t="str">
        <f>IFERROR(__xludf.DUMMYFUNCTION("""COMPUTED_VALUE"""),"3,8")</f>
        <v>3,8</v>
      </c>
      <c r="M252" s="7"/>
      <c r="N252" s="7"/>
      <c r="O252" s="7"/>
    </row>
    <row r="253">
      <c r="A253" s="29">
        <f>IFERROR(__xludf.DUMMYFUNCTION("""COMPUTED_VALUE"""),249.0)</f>
        <v>249</v>
      </c>
      <c r="B253" s="7" t="str">
        <f>IFERROR(__xludf.DUMMYFUNCTION("""COMPUTED_VALUE"""),"vor 12 Tagen")</f>
        <v>vor 12 Tagen</v>
      </c>
      <c r="C253" s="7" t="str">
        <f>IFERROR(__xludf.DUMMYFUNCTION("""COMPUTED_VALUE"""),"Manufacturing Data Science Internship, Stamping (m/w/d) - Gi...")</f>
        <v>Manufacturing Data Science Internship, Stamping (m/w/d) - Gi...</v>
      </c>
      <c r="D253" s="7" t="str">
        <f>IFERROR(__xludf.DUMMYFUNCTION("""COMPUTED_VALUE"""),"Grünheide (Mark)")</f>
        <v>Grünheide (Mark)</v>
      </c>
      <c r="E253" s="7" t="str">
        <f>IFERROR(__xludf.DUMMYFUNCTION("""COMPUTED_VALUE"""),"Tesla")</f>
        <v>Tesla</v>
      </c>
      <c r="F253" s="7" t="str">
        <f>IFERROR(__xludf.DUMMYFUNCTION("""COMPUTED_VALUE"""),"None")</f>
        <v>None</v>
      </c>
      <c r="G253" s="7" t="str">
        <f>IFERROR(__xludf.DUMMYFUNCTION("""COMPUTED_VALUE"""),"No salary data")</f>
        <v>No salary data</v>
      </c>
      <c r="H253" s="7" t="str">
        <f>IFERROR(__xludf.DUMMYFUNCTION("""COMPUTED_VALUE"""),"No salary data")</f>
        <v>No salary data</v>
      </c>
      <c r="I253" s="7" t="str">
        <f>IFERROR(__xludf.DUMMYFUNCTION("""COMPUTED_VALUE"""),"No salary data")</f>
        <v>No salary data</v>
      </c>
      <c r="J253" s="7" t="str">
        <f>IFERROR(__xludf.DUMMYFUNCTION("""COMPUTED_VALUE"""),"Python, SQL, Machine Learning, Statistic")</f>
        <v>Python, SQL, Machine Learning, Statistic</v>
      </c>
      <c r="K253" s="7" t="str">
        <f>IFERROR(__xludf.DUMMYFUNCTION("""COMPUTED_VALUE"""),"Internship")</f>
        <v>Internship</v>
      </c>
      <c r="L253" s="7" t="str">
        <f>IFERROR(__xludf.DUMMYFUNCTION("""COMPUTED_VALUE"""),"3,5")</f>
        <v>3,5</v>
      </c>
      <c r="M253" s="7"/>
      <c r="N253" s="7"/>
      <c r="O253" s="7"/>
    </row>
    <row r="254">
      <c r="A254" s="29">
        <f>IFERROR(__xludf.DUMMYFUNCTION("""COMPUTED_VALUE"""),250.0)</f>
        <v>250</v>
      </c>
      <c r="B254" s="7" t="str">
        <f>IFERROR(__xludf.DUMMYFUNCTION("""COMPUTED_VALUE"""),"vor 7 Tagen")</f>
        <v>vor 7 Tagen</v>
      </c>
      <c r="C254" s="7" t="str">
        <f>IFERROR(__xludf.DUMMYFUNCTION("""COMPUTED_VALUE"""),"8346: Dualer Master (m/w/d) als Junior Change Manager im Ber...")</f>
        <v>8346: Dualer Master (m/w/d) als Junior Change Manager im Ber...</v>
      </c>
      <c r="D254" s="7" t="str">
        <f>IFERROR(__xludf.DUMMYFUNCTION("""COMPUTED_VALUE"""),"Nürnberg")</f>
        <v>Nürnberg</v>
      </c>
      <c r="E254" s="7" t="str">
        <f>IFERROR(__xludf.DUMMYFUNCTION("""COMPUTED_VALUE"""),"Steinbeis Center of Management and Technology GmbH")</f>
        <v>Steinbeis Center of Management and Technology GmbH</v>
      </c>
      <c r="F254" s="7" t="str">
        <f>IFERROR(__xludf.DUMMYFUNCTION("""COMPUTED_VALUE"""),"None")</f>
        <v>None</v>
      </c>
      <c r="G254" s="7" t="str">
        <f>IFERROR(__xludf.DUMMYFUNCTION("""COMPUTED_VALUE"""),"No salary data")</f>
        <v>No salary data</v>
      </c>
      <c r="H254" s="7" t="str">
        <f>IFERROR(__xludf.DUMMYFUNCTION("""COMPUTED_VALUE"""),"No salary data")</f>
        <v>No salary data</v>
      </c>
      <c r="I254" s="7" t="str">
        <f>IFERROR(__xludf.DUMMYFUNCTION("""COMPUTED_VALUE"""),"No salary data")</f>
        <v>No salary data</v>
      </c>
      <c r="J254" s="7" t="str">
        <f>IFERROR(__xludf.DUMMYFUNCTION("""COMPUTED_VALUE"""),"Git")</f>
        <v>Git</v>
      </c>
      <c r="K254" s="7" t="str">
        <f>IFERROR(__xludf.DUMMYFUNCTION("""COMPUTED_VALUE"""),"No job type data")</f>
        <v>No job type data</v>
      </c>
      <c r="L254" s="7" t="str">
        <f>IFERROR(__xludf.DUMMYFUNCTION("""COMPUTED_VALUE"""),"None")</f>
        <v>None</v>
      </c>
      <c r="M254" s="7"/>
      <c r="N254" s="7"/>
      <c r="O254" s="7"/>
    </row>
    <row r="255">
      <c r="A255" s="29">
        <f>IFERROR(__xludf.DUMMYFUNCTION("""COMPUTED_VALUE"""),251.0)</f>
        <v>251</v>
      </c>
      <c r="B255" s="7" t="str">
        <f>IFERROR(__xludf.DUMMYFUNCTION("""COMPUTED_VALUE"""),"vor 24 Tagen")</f>
        <v>vor 24 Tagen</v>
      </c>
      <c r="C255" s="7" t="str">
        <f>IFERROR(__xludf.DUMMYFUNCTION("""COMPUTED_VALUE"""),"Data Architect (m/f/x)")</f>
        <v>Data Architect (m/f/x)</v>
      </c>
      <c r="D255" s="7" t="str">
        <f>IFERROR(__xludf.DUMMYFUNCTION("""COMPUTED_VALUE"""),"Berlin")</f>
        <v>Berlin</v>
      </c>
      <c r="E255" s="7" t="str">
        <f>IFERROR(__xludf.DUMMYFUNCTION("""COMPUTED_VALUE"""),"CarOnSale")</f>
        <v>CarOnSale</v>
      </c>
      <c r="F255" s="7" t="str">
        <f>IFERROR(__xludf.DUMMYFUNCTION("""COMPUTED_VALUE"""),"None")</f>
        <v>None</v>
      </c>
      <c r="G255" s="7" t="str">
        <f>IFERROR(__xludf.DUMMYFUNCTION("""COMPUTED_VALUE"""),"No salary data")</f>
        <v>No salary data</v>
      </c>
      <c r="H255" s="7" t="str">
        <f>IFERROR(__xludf.DUMMYFUNCTION("""COMPUTED_VALUE"""),"No salary data")</f>
        <v>No salary data</v>
      </c>
      <c r="I255" s="7" t="str">
        <f>IFERROR(__xludf.DUMMYFUNCTION("""COMPUTED_VALUE"""),"No salary data")</f>
        <v>No salary data</v>
      </c>
      <c r="J255" s="7" t="str">
        <f>IFERROR(__xludf.DUMMYFUNCTION("""COMPUTED_VALUE"""),"Python, SQL, Tableau, Excel, Git")</f>
        <v>Python, SQL, Tableau, Excel, Git</v>
      </c>
      <c r="K255" s="7" t="str">
        <f>IFERROR(__xludf.DUMMYFUNCTION("""COMPUTED_VALUE"""),"No job type data")</f>
        <v>No job type data</v>
      </c>
      <c r="L255" s="7" t="str">
        <f>IFERROR(__xludf.DUMMYFUNCTION("""COMPUTED_VALUE"""),"None")</f>
        <v>None</v>
      </c>
      <c r="M255" s="7"/>
      <c r="N255" s="7"/>
      <c r="O255" s="7"/>
    </row>
    <row r="256">
      <c r="A256" s="29">
        <f>IFERROR(__xludf.DUMMYFUNCTION("""COMPUTED_VALUE"""),252.0)</f>
        <v>252</v>
      </c>
      <c r="B256" s="7" t="str">
        <f>IFERROR(__xludf.DUMMYFUNCTION("""COMPUTED_VALUE"""),"Vor mehr als 30 Tagen")</f>
        <v>Vor mehr als 30 Tagen</v>
      </c>
      <c r="C256" s="7" t="str">
        <f>IFERROR(__xludf.DUMMYFUNCTION("""COMPUTED_VALUE"""),"Daten Analyst &amp; Reporting Spezialist (m/w/d)")</f>
        <v>Daten Analyst &amp; Reporting Spezialist (m/w/d)</v>
      </c>
      <c r="D256" s="7" t="str">
        <f>IFERROR(__xludf.DUMMYFUNCTION("""COMPUTED_VALUE"""),"München")</f>
        <v>München</v>
      </c>
      <c r="E256" s="7" t="str">
        <f>IFERROR(__xludf.DUMMYFUNCTION("""COMPUTED_VALUE"""),"UniCredit Bank")</f>
        <v>UniCredit Bank</v>
      </c>
      <c r="F256" s="7" t="str">
        <f>IFERROR(__xludf.DUMMYFUNCTION("""COMPUTED_VALUE"""),"None")</f>
        <v>None</v>
      </c>
      <c r="G256" s="7" t="str">
        <f>IFERROR(__xludf.DUMMYFUNCTION("""COMPUTED_VALUE"""),"No salary data")</f>
        <v>No salary data</v>
      </c>
      <c r="H256" s="7" t="str">
        <f>IFERROR(__xludf.DUMMYFUNCTION("""COMPUTED_VALUE"""),"No salary data")</f>
        <v>No salary data</v>
      </c>
      <c r="I256" s="7" t="str">
        <f>IFERROR(__xludf.DUMMYFUNCTION("""COMPUTED_VALUE"""),"No salary data")</f>
        <v>No salary data</v>
      </c>
      <c r="J256" s="7" t="str">
        <f>IFERROR(__xludf.DUMMYFUNCTION("""COMPUTED_VALUE"""),"SQL, Tableau, Excel")</f>
        <v>SQL, Tableau, Excel</v>
      </c>
      <c r="K256" s="7" t="str">
        <f>IFERROR(__xludf.DUMMYFUNCTION("""COMPUTED_VALUE"""),"No job type data")</f>
        <v>No job type data</v>
      </c>
      <c r="L256" s="7" t="str">
        <f>IFERROR(__xludf.DUMMYFUNCTION("""COMPUTED_VALUE"""),"3,8")</f>
        <v>3,8</v>
      </c>
      <c r="M256" s="7"/>
      <c r="N256" s="7"/>
      <c r="O256" s="7"/>
    </row>
    <row r="257">
      <c r="A257" s="29">
        <f>IFERROR(__xludf.DUMMYFUNCTION("""COMPUTED_VALUE"""),253.0)</f>
        <v>253</v>
      </c>
      <c r="B257" s="7" t="str">
        <f>IFERROR(__xludf.DUMMYFUNCTION("""COMPUTED_VALUE"""),"Vor mehr als 30 Tagen")</f>
        <v>Vor mehr als 30 Tagen</v>
      </c>
      <c r="C257" s="7" t="str">
        <f>IFERROR(__xludf.DUMMYFUNCTION("""COMPUTED_VALUE"""),"Marketing Intelligence Analyst (m/w/d)")</f>
        <v>Marketing Intelligence Analyst (m/w/d)</v>
      </c>
      <c r="D257" s="7" t="str">
        <f>IFERROR(__xludf.DUMMYFUNCTION("""COMPUTED_VALUE"""),"Hamburg")</f>
        <v>Hamburg</v>
      </c>
      <c r="E257" s="7" t="str">
        <f>IFERROR(__xludf.DUMMYFUNCTION("""COMPUTED_VALUE"""),"IUBH Internationale Hochschule GmbH")</f>
        <v>IUBH Internationale Hochschule GmbH</v>
      </c>
      <c r="F257" s="7" t="str">
        <f>IFERROR(__xludf.DUMMYFUNCTION("""COMPUTED_VALUE"""),"None")</f>
        <v>None</v>
      </c>
      <c r="G257" s="7" t="str">
        <f>IFERROR(__xludf.DUMMYFUNCTION("""COMPUTED_VALUE"""),"No salary data")</f>
        <v>No salary data</v>
      </c>
      <c r="H257" s="7" t="str">
        <f>IFERROR(__xludf.DUMMYFUNCTION("""COMPUTED_VALUE"""),"No salary data")</f>
        <v>No salary data</v>
      </c>
      <c r="I257" s="7" t="str">
        <f>IFERROR(__xludf.DUMMYFUNCTION("""COMPUTED_VALUE"""),"No salary data")</f>
        <v>No salary data</v>
      </c>
      <c r="J257" s="7" t="str">
        <f>IFERROR(__xludf.DUMMYFUNCTION("""COMPUTED_VALUE"""),"Python, SQL, Tableau, Excel")</f>
        <v>Python, SQL, Tableau, Excel</v>
      </c>
      <c r="K257" s="7" t="str">
        <f>IFERROR(__xludf.DUMMYFUNCTION("""COMPUTED_VALUE"""),"No job type data")</f>
        <v>No job type data</v>
      </c>
      <c r="L257" s="7" t="str">
        <f>IFERROR(__xludf.DUMMYFUNCTION("""COMPUTED_VALUE"""),"4,3")</f>
        <v>4,3</v>
      </c>
      <c r="M257" s="7"/>
      <c r="N257" s="7"/>
      <c r="O257" s="7"/>
    </row>
    <row r="258">
      <c r="A258" s="29">
        <f>IFERROR(__xludf.DUMMYFUNCTION("""COMPUTED_VALUE"""),254.0)</f>
        <v>254</v>
      </c>
      <c r="B258" s="7" t="str">
        <f>IFERROR(__xludf.DUMMYFUNCTION("""COMPUTED_VALUE"""),"vor 12 Tagen")</f>
        <v>vor 12 Tagen</v>
      </c>
      <c r="C258" s="7" t="str">
        <f>IFERROR(__xludf.DUMMYFUNCTION("""COMPUTED_VALUE"""),"BI &amp; Data Analytics Solution Architect (f/m/d)")</f>
        <v>BI &amp; Data Analytics Solution Architect (f/m/d)</v>
      </c>
      <c r="D258" s="7" t="str">
        <f>IFERROR(__xludf.DUMMYFUNCTION("""COMPUTED_VALUE"""),"Hamburg")</f>
        <v>Hamburg</v>
      </c>
      <c r="E258" s="7" t="str">
        <f>IFERROR(__xludf.DUMMYFUNCTION("""COMPUTED_VALUE"""),"Aquila Capital")</f>
        <v>Aquila Capital</v>
      </c>
      <c r="F258" s="7" t="str">
        <f>IFERROR(__xludf.DUMMYFUNCTION("""COMPUTED_VALUE"""),"None")</f>
        <v>None</v>
      </c>
      <c r="G258" s="7" t="str">
        <f>IFERROR(__xludf.DUMMYFUNCTION("""COMPUTED_VALUE"""),"No salary data")</f>
        <v>No salary data</v>
      </c>
      <c r="H258" s="7" t="str">
        <f>IFERROR(__xludf.DUMMYFUNCTION("""COMPUTED_VALUE"""),"No salary data")</f>
        <v>No salary data</v>
      </c>
      <c r="I258" s="7" t="str">
        <f>IFERROR(__xludf.DUMMYFUNCTION("""COMPUTED_VALUE"""),"No salary data")</f>
        <v>No salary data</v>
      </c>
      <c r="J258" s="7" t="str">
        <f>IFERROR(__xludf.DUMMYFUNCTION("""COMPUTED_VALUE"""),"Python, SQL, Excel, Machine Learning")</f>
        <v>Python, SQL, Excel, Machine Learning</v>
      </c>
      <c r="K258" s="7" t="str">
        <f>IFERROR(__xludf.DUMMYFUNCTION("""COMPUTED_VALUE"""),"No job type data")</f>
        <v>No job type data</v>
      </c>
      <c r="L258" s="7" t="str">
        <f>IFERROR(__xludf.DUMMYFUNCTION("""COMPUTED_VALUE"""),"3,0")</f>
        <v>3,0</v>
      </c>
      <c r="M258" s="7"/>
      <c r="N258" s="7"/>
      <c r="O258" s="7"/>
    </row>
    <row r="259">
      <c r="A259" s="29">
        <f>IFERROR(__xludf.DUMMYFUNCTION("""COMPUTED_VALUE"""),255.0)</f>
        <v>255</v>
      </c>
      <c r="B259" s="7" t="str">
        <f>IFERROR(__xludf.DUMMYFUNCTION("""COMPUTED_VALUE"""),"vor 5 Tagen")</f>
        <v>vor 5 Tagen</v>
      </c>
      <c r="C259" s="7" t="str">
        <f>IFERROR(__xludf.DUMMYFUNCTION("""COMPUTED_VALUE"""),"(Erfahrener) Berater Data &amp; Analytics Strategie (w/m/d)")</f>
        <v>(Erfahrener) Berater Data &amp; Analytics Strategie (w/m/d)</v>
      </c>
      <c r="D259" s="7" t="str">
        <f>IFERROR(__xludf.DUMMYFUNCTION("""COMPUTED_VALUE"""),"Deutschland")</f>
        <v>Deutschland</v>
      </c>
      <c r="E259" s="7" t="str">
        <f>IFERROR(__xludf.DUMMYFUNCTION("""COMPUTED_VALUE"""),"PwC")</f>
        <v>PwC</v>
      </c>
      <c r="F259" s="7" t="str">
        <f>IFERROR(__xludf.DUMMYFUNCTION("""COMPUTED_VALUE"""),"None")</f>
        <v>None</v>
      </c>
      <c r="G259" s="7" t="str">
        <f>IFERROR(__xludf.DUMMYFUNCTION("""COMPUTED_VALUE"""),"No salary data")</f>
        <v>No salary data</v>
      </c>
      <c r="H259" s="7" t="str">
        <f>IFERROR(__xludf.DUMMYFUNCTION("""COMPUTED_VALUE"""),"No salary data")</f>
        <v>No salary data</v>
      </c>
      <c r="I259" s="7" t="str">
        <f>IFERROR(__xludf.DUMMYFUNCTION("""COMPUTED_VALUE"""),"No salary data")</f>
        <v>No salary data</v>
      </c>
      <c r="J259" s="7" t="str">
        <f>IFERROR(__xludf.DUMMYFUNCTION("""COMPUTED_VALUE"""),"Python, SQL, Tableau, Machine Learning, Agile, Scrum, Kanban")</f>
        <v>Python, SQL, Tableau, Machine Learning, Agile, Scrum, Kanban</v>
      </c>
      <c r="K259" s="7" t="str">
        <f>IFERROR(__xludf.DUMMYFUNCTION("""COMPUTED_VALUE"""),"No job type data")</f>
        <v>No job type data</v>
      </c>
      <c r="L259" s="7" t="str">
        <f>IFERROR(__xludf.DUMMYFUNCTION("""COMPUTED_VALUE"""),"4,0")</f>
        <v>4,0</v>
      </c>
      <c r="M259" s="7"/>
      <c r="N259" s="7"/>
      <c r="O259" s="7"/>
    </row>
    <row r="260">
      <c r="A260" s="29">
        <f>IFERROR(__xludf.DUMMYFUNCTION("""COMPUTED_VALUE"""),256.0)</f>
        <v>256</v>
      </c>
      <c r="B260" s="7" t="str">
        <f>IFERROR(__xludf.DUMMYFUNCTION("""COMPUTED_VALUE"""),"vor 4 Tagen")</f>
        <v>vor 4 Tagen</v>
      </c>
      <c r="C260" s="7" t="str">
        <f>IFERROR(__xludf.DUMMYFUNCTION("""COMPUTED_VALUE"""),"Index Analyst (m/f/d)")</f>
        <v>Index Analyst (m/f/d)</v>
      </c>
      <c r="D260" s="7" t="str">
        <f>IFERROR(__xludf.DUMMYFUNCTION("""COMPUTED_VALUE"""),"Frankfurt am Main")</f>
        <v>Frankfurt am Main</v>
      </c>
      <c r="E260" s="7" t="str">
        <f>IFERROR(__xludf.DUMMYFUNCTION("""COMPUTED_VALUE"""),"Solactive AG")</f>
        <v>Solactive AG</v>
      </c>
      <c r="F260" s="7" t="str">
        <f>IFERROR(__xludf.DUMMYFUNCTION("""COMPUTED_VALUE"""),"None")</f>
        <v>None</v>
      </c>
      <c r="G260" s="7" t="str">
        <f>IFERROR(__xludf.DUMMYFUNCTION("""COMPUTED_VALUE"""),"No salary data")</f>
        <v>No salary data</v>
      </c>
      <c r="H260" s="7" t="str">
        <f>IFERROR(__xludf.DUMMYFUNCTION("""COMPUTED_VALUE"""),"No salary data")</f>
        <v>No salary data</v>
      </c>
      <c r="I260" s="7" t="str">
        <f>IFERROR(__xludf.DUMMYFUNCTION("""COMPUTED_VALUE"""),"No salary data")</f>
        <v>No salary data</v>
      </c>
      <c r="J260" s="7" t="str">
        <f>IFERROR(__xludf.DUMMYFUNCTION("""COMPUTED_VALUE"""),"Python, SQL")</f>
        <v>Python, SQL</v>
      </c>
      <c r="K260" s="7" t="str">
        <f>IFERROR(__xludf.DUMMYFUNCTION("""COMPUTED_VALUE"""),"No job type data")</f>
        <v>No job type data</v>
      </c>
      <c r="L260" s="7" t="str">
        <f>IFERROR(__xludf.DUMMYFUNCTION("""COMPUTED_VALUE"""),"None")</f>
        <v>None</v>
      </c>
      <c r="M260" s="7"/>
      <c r="N260" s="7"/>
      <c r="O260" s="7"/>
    </row>
    <row r="261">
      <c r="A261" s="29">
        <f>IFERROR(__xludf.DUMMYFUNCTION("""COMPUTED_VALUE"""),257.0)</f>
        <v>257</v>
      </c>
      <c r="B261" s="7" t="str">
        <f>IFERROR(__xludf.DUMMYFUNCTION("""COMPUTED_VALUE"""),"Vor mehr als 30 Tagen")</f>
        <v>Vor mehr als 30 Tagen</v>
      </c>
      <c r="C261" s="7" t="str">
        <f>IFERROR(__xludf.DUMMYFUNCTION("""COMPUTED_VALUE"""),"VP Data Intelligence")</f>
        <v>VP Data Intelligence</v>
      </c>
      <c r="D261" s="7" t="str">
        <f>IFERROR(__xludf.DUMMYFUNCTION("""COMPUTED_VALUE"""),"Frankfurt am Main")</f>
        <v>Frankfurt am Main</v>
      </c>
      <c r="E261" s="7" t="str">
        <f>IFERROR(__xludf.DUMMYFUNCTION("""COMPUTED_VALUE"""),"CLARK")</f>
        <v>CLARK</v>
      </c>
      <c r="F261" s="7" t="str">
        <f>IFERROR(__xludf.DUMMYFUNCTION("""COMPUTED_VALUE"""),"None")</f>
        <v>None</v>
      </c>
      <c r="G261" s="7" t="str">
        <f>IFERROR(__xludf.DUMMYFUNCTION("""COMPUTED_VALUE"""),"No salary data")</f>
        <v>No salary data</v>
      </c>
      <c r="H261" s="7" t="str">
        <f>IFERROR(__xludf.DUMMYFUNCTION("""COMPUTED_VALUE"""),"No salary data")</f>
        <v>No salary data</v>
      </c>
      <c r="I261" s="7" t="str">
        <f>IFERROR(__xludf.DUMMYFUNCTION("""COMPUTED_VALUE"""),"No salary data")</f>
        <v>No salary data</v>
      </c>
      <c r="J261" s="7" t="str">
        <f>IFERROR(__xludf.DUMMYFUNCTION("""COMPUTED_VALUE"""),"SQL, Tableau, Statistic, Git, Agile")</f>
        <v>SQL, Tableau, Statistic, Git, Agile</v>
      </c>
      <c r="K261" s="7" t="str">
        <f>IFERROR(__xludf.DUMMYFUNCTION("""COMPUTED_VALUE"""),"No job type data")</f>
        <v>No job type data</v>
      </c>
      <c r="L261" s="7" t="str">
        <f>IFERROR(__xludf.DUMMYFUNCTION("""COMPUTED_VALUE"""),"None")</f>
        <v>None</v>
      </c>
      <c r="M261" s="7"/>
      <c r="N261" s="7"/>
      <c r="O261" s="7"/>
    </row>
    <row r="262">
      <c r="A262" s="29">
        <f>IFERROR(__xludf.DUMMYFUNCTION("""COMPUTED_VALUE"""),258.0)</f>
        <v>258</v>
      </c>
      <c r="B262" s="7" t="str">
        <f>IFERROR(__xludf.DUMMYFUNCTION("""COMPUTED_VALUE"""),"vor 13 Tagen")</f>
        <v>vor 13 Tagen</v>
      </c>
      <c r="C262" s="7" t="str">
        <f>IFERROR(__xludf.DUMMYFUNCTION("""COMPUTED_VALUE"""),"Werkstudent (w/m/d) Vertrieb und Marketing von Data Analytic...")</f>
        <v>Werkstudent (w/m/d) Vertrieb und Marketing von Data Analytic...</v>
      </c>
      <c r="D262" s="7" t="str">
        <f>IFERROR(__xludf.DUMMYFUNCTION("""COMPUTED_VALUE"""),"Wegberg")</f>
        <v>Wegberg</v>
      </c>
      <c r="E262" s="7" t="str">
        <f>IFERROR(__xludf.DUMMYFUNCTION("""COMPUTED_VALUE"""),"Siemens AG")</f>
        <v>Siemens AG</v>
      </c>
      <c r="F262" s="7" t="str">
        <f>IFERROR(__xludf.DUMMYFUNCTION("""COMPUTED_VALUE"""),"None")</f>
        <v>None</v>
      </c>
      <c r="G262" s="7" t="str">
        <f>IFERROR(__xludf.DUMMYFUNCTION("""COMPUTED_VALUE"""),"No salary data")</f>
        <v>No salary data</v>
      </c>
      <c r="H262" s="7" t="str">
        <f>IFERROR(__xludf.DUMMYFUNCTION("""COMPUTED_VALUE"""),"No salary data")</f>
        <v>No salary data</v>
      </c>
      <c r="I262" s="7" t="str">
        <f>IFERROR(__xludf.DUMMYFUNCTION("""COMPUTED_VALUE"""),"No salary data")</f>
        <v>No salary data</v>
      </c>
      <c r="J262" s="7" t="str">
        <f>IFERROR(__xludf.DUMMYFUNCTION("""COMPUTED_VALUE"""),"Git")</f>
        <v>Git</v>
      </c>
      <c r="K262" s="7" t="str">
        <f>IFERROR(__xludf.DUMMYFUNCTION("""COMPUTED_VALUE"""),"Part-Time")</f>
        <v>Part-Time</v>
      </c>
      <c r="L262" s="7" t="str">
        <f>IFERROR(__xludf.DUMMYFUNCTION("""COMPUTED_VALUE"""),"4,0")</f>
        <v>4,0</v>
      </c>
      <c r="M262" s="7"/>
      <c r="N262" s="7"/>
      <c r="O262" s="7"/>
    </row>
    <row r="263">
      <c r="A263" s="29">
        <f>IFERROR(__xludf.DUMMYFUNCTION("""COMPUTED_VALUE"""),259.0)</f>
        <v>259</v>
      </c>
      <c r="B263" s="7" t="str">
        <f>IFERROR(__xludf.DUMMYFUNCTION("""COMPUTED_VALUE"""),"Gerade geschaltet")</f>
        <v>Gerade geschaltet</v>
      </c>
      <c r="C263" s="7" t="str">
        <f>IFERROR(__xludf.DUMMYFUNCTION("""COMPUTED_VALUE"""),"Data Analyst Hotels &amp; Resorts (m/w/d)")</f>
        <v>Data Analyst Hotels &amp; Resorts (m/w/d)</v>
      </c>
      <c r="D263" s="7" t="str">
        <f>IFERROR(__xludf.DUMMYFUNCTION("""COMPUTED_VALUE"""),"Hannover")</f>
        <v>Hannover</v>
      </c>
      <c r="E263" s="7" t="str">
        <f>IFERROR(__xludf.DUMMYFUNCTION("""COMPUTED_VALUE"""),"TUI InfoTec GmbH")</f>
        <v>TUI InfoTec GmbH</v>
      </c>
      <c r="F263" s="7" t="str">
        <f>IFERROR(__xludf.DUMMYFUNCTION("""COMPUTED_VALUE"""),"None")</f>
        <v>None</v>
      </c>
      <c r="G263" s="7" t="str">
        <f>IFERROR(__xludf.DUMMYFUNCTION("""COMPUTED_VALUE"""),"No salary data")</f>
        <v>No salary data</v>
      </c>
      <c r="H263" s="7" t="str">
        <f>IFERROR(__xludf.DUMMYFUNCTION("""COMPUTED_VALUE"""),"No salary data")</f>
        <v>No salary data</v>
      </c>
      <c r="I263" s="7" t="str">
        <f>IFERROR(__xludf.DUMMYFUNCTION("""COMPUTED_VALUE"""),"No salary data")</f>
        <v>No salary data</v>
      </c>
      <c r="J263" s="7" t="str">
        <f>IFERROR(__xludf.DUMMYFUNCTION("""COMPUTED_VALUE"""),"SQL, Tableau, Agile")</f>
        <v>SQL, Tableau, Agile</v>
      </c>
      <c r="K263" s="7" t="str">
        <f>IFERROR(__xludf.DUMMYFUNCTION("""COMPUTED_VALUE"""),"No job type data")</f>
        <v>No job type data</v>
      </c>
      <c r="L263" s="7" t="str">
        <f>IFERROR(__xludf.DUMMYFUNCTION("""COMPUTED_VALUE"""),"3,8")</f>
        <v>3,8</v>
      </c>
      <c r="M263" s="7"/>
      <c r="N263" s="7"/>
      <c r="O263" s="7"/>
    </row>
    <row r="264">
      <c r="A264" s="29">
        <f>IFERROR(__xludf.DUMMYFUNCTION("""COMPUTED_VALUE"""),260.0)</f>
        <v>260</v>
      </c>
      <c r="B264" s="7" t="str">
        <f>IFERROR(__xludf.DUMMYFUNCTION("""COMPUTED_VALUE"""),"vor 5 Tagen")</f>
        <v>vor 5 Tagen</v>
      </c>
      <c r="C264" s="7" t="str">
        <f>IFERROR(__xludf.DUMMYFUNCTION("""COMPUTED_VALUE"""),"Berater Business Intelligence (w/m/d) (Data Engineer/Scienti...")</f>
        <v>Berater Business Intelligence (w/m/d) (Data Engineer/Scienti...</v>
      </c>
      <c r="D264" s="7" t="str">
        <f>IFERROR(__xludf.DUMMYFUNCTION("""COMPUTED_VALUE"""),"Hamburg")</f>
        <v>Hamburg</v>
      </c>
      <c r="E264" s="7" t="str">
        <f>IFERROR(__xludf.DUMMYFUNCTION("""COMPUTED_VALUE"""),"initions AG")</f>
        <v>initions AG</v>
      </c>
      <c r="F264" s="7" t="str">
        <f>IFERROR(__xludf.DUMMYFUNCTION("""COMPUTED_VALUE"""),"None")</f>
        <v>None</v>
      </c>
      <c r="G264" s="7" t="str">
        <f>IFERROR(__xludf.DUMMYFUNCTION("""COMPUTED_VALUE"""),"No salary data")</f>
        <v>No salary data</v>
      </c>
      <c r="H264" s="7" t="str">
        <f>IFERROR(__xludf.DUMMYFUNCTION("""COMPUTED_VALUE"""),"No salary data")</f>
        <v>No salary data</v>
      </c>
      <c r="I264" s="7" t="str">
        <f>IFERROR(__xludf.DUMMYFUNCTION("""COMPUTED_VALUE"""),"No salary data")</f>
        <v>No salary data</v>
      </c>
      <c r="J264" s="7" t="str">
        <f>IFERROR(__xludf.DUMMYFUNCTION("""COMPUTED_VALUE"""),"Git")</f>
        <v>Git</v>
      </c>
      <c r="K264" s="7" t="str">
        <f>IFERROR(__xludf.DUMMYFUNCTION("""COMPUTED_VALUE"""),"No job type data")</f>
        <v>No job type data</v>
      </c>
      <c r="L264" s="7" t="str">
        <f>IFERROR(__xludf.DUMMYFUNCTION("""COMPUTED_VALUE"""),"None")</f>
        <v>None</v>
      </c>
      <c r="M264" s="7"/>
      <c r="N264" s="7"/>
      <c r="O264" s="7"/>
    </row>
    <row r="265">
      <c r="A265" s="29">
        <f>IFERROR(__xludf.DUMMYFUNCTION("""COMPUTED_VALUE"""),261.0)</f>
        <v>261</v>
      </c>
      <c r="B265" s="7" t="str">
        <f>IFERROR(__xludf.DUMMYFUNCTION("""COMPUTED_VALUE"""),"Vor mehr als 30 Tagen")</f>
        <v>Vor mehr als 30 Tagen</v>
      </c>
      <c r="C265" s="7" t="str">
        <f>IFERROR(__xludf.DUMMYFUNCTION("""COMPUTED_VALUE"""),"Data Engineer")</f>
        <v>Data Engineer</v>
      </c>
      <c r="D265" s="7" t="str">
        <f>IFERROR(__xludf.DUMMYFUNCTION("""COMPUTED_VALUE"""),"Frankfurt am Main")</f>
        <v>Frankfurt am Main</v>
      </c>
      <c r="E265" s="7" t="str">
        <f>IFERROR(__xludf.DUMMYFUNCTION("""COMPUTED_VALUE"""),"Schenker AG Head Office")</f>
        <v>Schenker AG Head Office</v>
      </c>
      <c r="F265" s="7" t="str">
        <f>IFERROR(__xludf.DUMMYFUNCTION("""COMPUTED_VALUE"""),"None")</f>
        <v>None</v>
      </c>
      <c r="G265" s="7" t="str">
        <f>IFERROR(__xludf.DUMMYFUNCTION("""COMPUTED_VALUE"""),"No salary data")</f>
        <v>No salary data</v>
      </c>
      <c r="H265" s="7" t="str">
        <f>IFERROR(__xludf.DUMMYFUNCTION("""COMPUTED_VALUE"""),"No salary data")</f>
        <v>No salary data</v>
      </c>
      <c r="I265" s="7" t="str">
        <f>IFERROR(__xludf.DUMMYFUNCTION("""COMPUTED_VALUE"""),"No salary data")</f>
        <v>No salary data</v>
      </c>
      <c r="J265" s="7" t="str">
        <f>IFERROR(__xludf.DUMMYFUNCTION("""COMPUTED_VALUE"""),"Python, SQL, Tableau, Machine Learning, Git, Linux, Jira")</f>
        <v>Python, SQL, Tableau, Machine Learning, Git, Linux, Jira</v>
      </c>
      <c r="K265" s="7" t="str">
        <f>IFERROR(__xludf.DUMMYFUNCTION("""COMPUTED_VALUE"""),"No job type data")</f>
        <v>No job type data</v>
      </c>
      <c r="L265" s="7" t="str">
        <f>IFERROR(__xludf.DUMMYFUNCTION("""COMPUTED_VALUE"""),"None")</f>
        <v>None</v>
      </c>
      <c r="M265" s="7"/>
      <c r="N265" s="7"/>
      <c r="O265" s="7"/>
    </row>
    <row r="266">
      <c r="A266" s="29">
        <f>IFERROR(__xludf.DUMMYFUNCTION("""COMPUTED_VALUE"""),262.0)</f>
        <v>262</v>
      </c>
      <c r="B266" s="7" t="str">
        <f>IFERROR(__xludf.DUMMYFUNCTION("""COMPUTED_VALUE"""),"vor 7 Tagen")</f>
        <v>vor 7 Tagen</v>
      </c>
      <c r="C266" s="7" t="str">
        <f>IFERROR(__xludf.DUMMYFUNCTION("""COMPUTED_VALUE"""),"Praktikant / Werkstudent (m/w/d) Business Intelligence &amp; Dat...")</f>
        <v>Praktikant / Werkstudent (m/w/d) Business Intelligence &amp; Dat...</v>
      </c>
      <c r="D266" s="7" t="str">
        <f>IFERROR(__xludf.DUMMYFUNCTION("""COMPUTED_VALUE"""),"Hannover")</f>
        <v>Hannover</v>
      </c>
      <c r="E266" s="7" t="str">
        <f>IFERROR(__xludf.DUMMYFUNCTION("""COMPUTED_VALUE"""),"Connox GmbH")</f>
        <v>Connox GmbH</v>
      </c>
      <c r="F266" s="7" t="str">
        <f>IFERROR(__xludf.DUMMYFUNCTION("""COMPUTED_VALUE"""),"None")</f>
        <v>None</v>
      </c>
      <c r="G266" s="7" t="str">
        <f>IFERROR(__xludf.DUMMYFUNCTION("""COMPUTED_VALUE"""),"No salary data")</f>
        <v>No salary data</v>
      </c>
      <c r="H266" s="7" t="str">
        <f>IFERROR(__xludf.DUMMYFUNCTION("""COMPUTED_VALUE"""),"No salary data")</f>
        <v>No salary data</v>
      </c>
      <c r="I266" s="7" t="str">
        <f>IFERROR(__xludf.DUMMYFUNCTION("""COMPUTED_VALUE"""),"No salary data")</f>
        <v>No salary data</v>
      </c>
      <c r="J266" s="7" t="str">
        <f>IFERROR(__xludf.DUMMYFUNCTION("""COMPUTED_VALUE"""),"SQL, Agile")</f>
        <v>SQL, Agile</v>
      </c>
      <c r="K266" s="7" t="str">
        <f>IFERROR(__xludf.DUMMYFUNCTION("""COMPUTED_VALUE"""),"No job type data")</f>
        <v>No job type data</v>
      </c>
      <c r="L266" s="7" t="str">
        <f>IFERROR(__xludf.DUMMYFUNCTION("""COMPUTED_VALUE"""),"None")</f>
        <v>None</v>
      </c>
      <c r="M266" s="7"/>
      <c r="N266" s="7"/>
      <c r="O266" s="7"/>
    </row>
    <row r="267">
      <c r="A267" s="29">
        <f>IFERROR(__xludf.DUMMYFUNCTION("""COMPUTED_VALUE"""),263.0)</f>
        <v>263</v>
      </c>
      <c r="B267" s="7" t="str">
        <f>IFERROR(__xludf.DUMMYFUNCTION("""COMPUTED_VALUE"""),"Vor mehr als 30 Tagen")</f>
        <v>Vor mehr als 30 Tagen</v>
      </c>
      <c r="C267" s="7" t="str">
        <f>IFERROR(__xludf.DUMMYFUNCTION("""COMPUTED_VALUE"""),"Praktikum - Makers Garage (Data Science &amp; Analytics)")</f>
        <v>Praktikum - Makers Garage (Data Science &amp; Analytics)</v>
      </c>
      <c r="D267" s="7" t="str">
        <f>IFERROR(__xludf.DUMMYFUNCTION("""COMPUTED_VALUE"""),"Hamburg")</f>
        <v>Hamburg</v>
      </c>
      <c r="E267" s="7" t="str">
        <f>IFERROR(__xludf.DUMMYFUNCTION("""COMPUTED_VALUE"""),"Continental AG")</f>
        <v>Continental AG</v>
      </c>
      <c r="F267" s="7" t="str">
        <f>IFERROR(__xludf.DUMMYFUNCTION("""COMPUTED_VALUE"""),"None")</f>
        <v>None</v>
      </c>
      <c r="G267" s="7" t="str">
        <f>IFERROR(__xludf.DUMMYFUNCTION("""COMPUTED_VALUE"""),"No salary data")</f>
        <v>No salary data</v>
      </c>
      <c r="H267" s="7" t="str">
        <f>IFERROR(__xludf.DUMMYFUNCTION("""COMPUTED_VALUE"""),"No salary data")</f>
        <v>No salary data</v>
      </c>
      <c r="I267" s="7" t="str">
        <f>IFERROR(__xludf.DUMMYFUNCTION("""COMPUTED_VALUE"""),"No salary data")</f>
        <v>No salary data</v>
      </c>
      <c r="J267" s="7" t="str">
        <f>IFERROR(__xludf.DUMMYFUNCTION("""COMPUTED_VALUE"""),"Python, SQL, Git")</f>
        <v>Python, SQL, Git</v>
      </c>
      <c r="K267" s="7" t="str">
        <f>IFERROR(__xludf.DUMMYFUNCTION("""COMPUTED_VALUE"""),"No job type data")</f>
        <v>No job type data</v>
      </c>
      <c r="L267" s="7" t="str">
        <f>IFERROR(__xludf.DUMMYFUNCTION("""COMPUTED_VALUE"""),"4,0")</f>
        <v>4,0</v>
      </c>
      <c r="M267" s="7"/>
      <c r="N267" s="7"/>
      <c r="O267" s="7"/>
    </row>
    <row r="268">
      <c r="A268" s="29">
        <f>IFERROR(__xludf.DUMMYFUNCTION("""COMPUTED_VALUE"""),264.0)</f>
        <v>264</v>
      </c>
      <c r="B268" s="7" t="str">
        <f>IFERROR(__xludf.DUMMYFUNCTION("""COMPUTED_VALUE"""),"vor 17 Tagen")</f>
        <v>vor 17 Tagen</v>
      </c>
      <c r="C268" s="7" t="str">
        <f>IFERROR(__xludf.DUMMYFUNCTION("""COMPUTED_VALUE"""),"Praktikant (m/w/d) für 6 Monate im Bereich Business Intellig...")</f>
        <v>Praktikant (m/w/d) für 6 Monate im Bereich Business Intellig...</v>
      </c>
      <c r="D268" s="7" t="str">
        <f>IFERROR(__xludf.DUMMYFUNCTION("""COMPUTED_VALUE"""),"München")</f>
        <v>München</v>
      </c>
      <c r="E268" s="7" t="str">
        <f>IFERROR(__xludf.DUMMYFUNCTION("""COMPUTED_VALUE"""),"Allianz Private Krankenversicherungs-AG")</f>
        <v>Allianz Private Krankenversicherungs-AG</v>
      </c>
      <c r="F268" s="7" t="str">
        <f>IFERROR(__xludf.DUMMYFUNCTION("""COMPUTED_VALUE"""),"None")</f>
        <v>None</v>
      </c>
      <c r="G268" s="7" t="str">
        <f>IFERROR(__xludf.DUMMYFUNCTION("""COMPUTED_VALUE"""),"No salary data")</f>
        <v>No salary data</v>
      </c>
      <c r="H268" s="7" t="str">
        <f>IFERROR(__xludf.DUMMYFUNCTION("""COMPUTED_VALUE"""),"No salary data")</f>
        <v>No salary data</v>
      </c>
      <c r="I268" s="7" t="str">
        <f>IFERROR(__xludf.DUMMYFUNCTION("""COMPUTED_VALUE"""),"No salary data")</f>
        <v>No salary data</v>
      </c>
      <c r="J268" s="7" t="str">
        <f>IFERROR(__xludf.DUMMYFUNCTION("""COMPUTED_VALUE"""),"SQL, Excel, Git")</f>
        <v>SQL, Excel, Git</v>
      </c>
      <c r="K268" s="7" t="str">
        <f>IFERROR(__xludf.DUMMYFUNCTION("""COMPUTED_VALUE"""),"No job type data")</f>
        <v>No job type data</v>
      </c>
      <c r="L268" s="7" t="str">
        <f>IFERROR(__xludf.DUMMYFUNCTION("""COMPUTED_VALUE"""),"3,9")</f>
        <v>3,9</v>
      </c>
      <c r="M268" s="7"/>
      <c r="N268" s="7"/>
      <c r="O268" s="7"/>
    </row>
    <row r="269">
      <c r="A269" s="29">
        <f>IFERROR(__xludf.DUMMYFUNCTION("""COMPUTED_VALUE"""),265.0)</f>
        <v>265</v>
      </c>
      <c r="B269" s="7" t="str">
        <f>IFERROR(__xludf.DUMMYFUNCTION("""COMPUTED_VALUE"""),"vor 6 Tagen")</f>
        <v>vor 6 Tagen</v>
      </c>
      <c r="C269" s="7" t="str">
        <f>IFERROR(__xludf.DUMMYFUNCTION("""COMPUTED_VALUE"""),"Head of Data Science &amp; Analytics (m/w/d)")</f>
        <v>Head of Data Science &amp; Analytics (m/w/d)</v>
      </c>
      <c r="D269" s="7" t="str">
        <f>IFERROR(__xludf.DUMMYFUNCTION("""COMPUTED_VALUE"""),"Krefeld")</f>
        <v>Krefeld</v>
      </c>
      <c r="E269" s="7" t="str">
        <f>IFERROR(__xludf.DUMMYFUNCTION("""COMPUTED_VALUE"""),"Fressnapf Tiernahrungs GmbH")</f>
        <v>Fressnapf Tiernahrungs GmbH</v>
      </c>
      <c r="F269" s="7" t="str">
        <f>IFERROR(__xludf.DUMMYFUNCTION("""COMPUTED_VALUE"""),"None")</f>
        <v>None</v>
      </c>
      <c r="G269" s="7" t="str">
        <f>IFERROR(__xludf.DUMMYFUNCTION("""COMPUTED_VALUE"""),"No salary data")</f>
        <v>No salary data</v>
      </c>
      <c r="H269" s="7" t="str">
        <f>IFERROR(__xludf.DUMMYFUNCTION("""COMPUTED_VALUE"""),"No salary data")</f>
        <v>No salary data</v>
      </c>
      <c r="I269" s="7" t="str">
        <f>IFERROR(__xludf.DUMMYFUNCTION("""COMPUTED_VALUE"""),"No salary data")</f>
        <v>No salary data</v>
      </c>
      <c r="J269" s="7" t="str">
        <f>IFERROR(__xludf.DUMMYFUNCTION("""COMPUTED_VALUE"""),"Python, SQL, Machine Learning, Statistic, Git, Agile")</f>
        <v>Python, SQL, Machine Learning, Statistic, Git, Agile</v>
      </c>
      <c r="K269" s="7" t="str">
        <f>IFERROR(__xludf.DUMMYFUNCTION("""COMPUTED_VALUE"""),"No job type data")</f>
        <v>No job type data</v>
      </c>
      <c r="L269" s="7" t="str">
        <f>IFERROR(__xludf.DUMMYFUNCTION("""COMPUTED_VALUE"""),"2,6")</f>
        <v>2,6</v>
      </c>
      <c r="M269" s="7"/>
      <c r="N269" s="7"/>
      <c r="O269" s="7"/>
    </row>
    <row r="270">
      <c r="A270" s="29">
        <f>IFERROR(__xludf.DUMMYFUNCTION("""COMPUTED_VALUE"""),266.0)</f>
        <v>266</v>
      </c>
      <c r="B270" s="7" t="str">
        <f>IFERROR(__xludf.DUMMYFUNCTION("""COMPUTED_VALUE"""),"vor 1 Tag")</f>
        <v>vor 1 Tag</v>
      </c>
      <c r="C270" s="7" t="str">
        <f>IFERROR(__xludf.DUMMYFUNCTION("""COMPUTED_VALUE"""),"Machine Learning Engineer")</f>
        <v>Machine Learning Engineer</v>
      </c>
      <c r="D270" s="7" t="str">
        <f>IFERROR(__xludf.DUMMYFUNCTION("""COMPUTED_VALUE"""),"Berlin")</f>
        <v>Berlin</v>
      </c>
      <c r="E270" s="7" t="str">
        <f>IFERROR(__xludf.DUMMYFUNCTION("""COMPUTED_VALUE"""),"SiaSearch")</f>
        <v>SiaSearch</v>
      </c>
      <c r="F270" s="7" t="str">
        <f>IFERROR(__xludf.DUMMYFUNCTION("""COMPUTED_VALUE"""),"None")</f>
        <v>None</v>
      </c>
      <c r="G270" s="7" t="str">
        <f>IFERROR(__xludf.DUMMYFUNCTION("""COMPUTED_VALUE"""),"No salary data")</f>
        <v>No salary data</v>
      </c>
      <c r="H270" s="7" t="str">
        <f>IFERROR(__xludf.DUMMYFUNCTION("""COMPUTED_VALUE"""),"No salary data")</f>
        <v>No salary data</v>
      </c>
      <c r="I270" s="7" t="str">
        <f>IFERROR(__xludf.DUMMYFUNCTION("""COMPUTED_VALUE"""),"No salary data")</f>
        <v>No salary data</v>
      </c>
      <c r="J270" s="7" t="str">
        <f>IFERROR(__xludf.DUMMYFUNCTION("""COMPUTED_VALUE"""),"Python, Excel, Machine Learning")</f>
        <v>Python, Excel, Machine Learning</v>
      </c>
      <c r="K270" s="7" t="str">
        <f>IFERROR(__xludf.DUMMYFUNCTION("""COMPUTED_VALUE"""),"No job type data")</f>
        <v>No job type data</v>
      </c>
      <c r="L270" s="7" t="str">
        <f>IFERROR(__xludf.DUMMYFUNCTION("""COMPUTED_VALUE"""),"None")</f>
        <v>None</v>
      </c>
      <c r="M270" s="7"/>
      <c r="N270" s="7"/>
      <c r="O270" s="7"/>
    </row>
    <row r="271">
      <c r="A271" s="29">
        <f>IFERROR(__xludf.DUMMYFUNCTION("""COMPUTED_VALUE"""),267.0)</f>
        <v>267</v>
      </c>
      <c r="B271" s="7" t="str">
        <f>IFERROR(__xludf.DUMMYFUNCTION("""COMPUTED_VALUE"""),"Vor mehr als 30 Tagen")</f>
        <v>Vor mehr als 30 Tagen</v>
      </c>
      <c r="C271" s="7" t="str">
        <f>IFERROR(__xludf.DUMMYFUNCTION("""COMPUTED_VALUE"""),"Datenbank- / SQL-Entwickler* Data Warehouse")</f>
        <v>Datenbank- / SQL-Entwickler* Data Warehouse</v>
      </c>
      <c r="D271" s="7" t="str">
        <f>IFERROR(__xludf.DUMMYFUNCTION("""COMPUTED_VALUE"""),"Hamburg")</f>
        <v>Hamburg</v>
      </c>
      <c r="E271" s="7" t="str">
        <f>IFERROR(__xludf.DUMMYFUNCTION("""COMPUTED_VALUE"""),"HANSAINVEST")</f>
        <v>HANSAINVEST</v>
      </c>
      <c r="F271" s="7" t="str">
        <f>IFERROR(__xludf.DUMMYFUNCTION("""COMPUTED_VALUE"""),"None")</f>
        <v>None</v>
      </c>
      <c r="G271" s="7" t="str">
        <f>IFERROR(__xludf.DUMMYFUNCTION("""COMPUTED_VALUE"""),"No salary data")</f>
        <v>No salary data</v>
      </c>
      <c r="H271" s="7" t="str">
        <f>IFERROR(__xludf.DUMMYFUNCTION("""COMPUTED_VALUE"""),"No salary data")</f>
        <v>No salary data</v>
      </c>
      <c r="I271" s="7" t="str">
        <f>IFERROR(__xludf.DUMMYFUNCTION("""COMPUTED_VALUE"""),"No salary data")</f>
        <v>No salary data</v>
      </c>
      <c r="J271" s="7" t="str">
        <f>IFERROR(__xludf.DUMMYFUNCTION("""COMPUTED_VALUE"""),"SQL")</f>
        <v>SQL</v>
      </c>
      <c r="K271" s="7" t="str">
        <f>IFERROR(__xludf.DUMMYFUNCTION("""COMPUTED_VALUE"""),"No job type data")</f>
        <v>No job type data</v>
      </c>
      <c r="L271" s="7" t="str">
        <f>IFERROR(__xludf.DUMMYFUNCTION("""COMPUTED_VALUE"""),"None")</f>
        <v>None</v>
      </c>
      <c r="M271" s="7"/>
      <c r="N271" s="7"/>
      <c r="O271" s="7"/>
    </row>
    <row r="272">
      <c r="A272" s="29">
        <f>IFERROR(__xludf.DUMMYFUNCTION("""COMPUTED_VALUE"""),268.0)</f>
        <v>268</v>
      </c>
      <c r="B272" s="7" t="str">
        <f>IFERROR(__xludf.DUMMYFUNCTION("""COMPUTED_VALUE"""),"Heute")</f>
        <v>Heute</v>
      </c>
      <c r="C272" s="7" t="str">
        <f>IFERROR(__xludf.DUMMYFUNCTION("""COMPUTED_VALUE"""),"Junior Consultant - Digital Transformation &amp; Ethics (m/w/d)")</f>
        <v>Junior Consultant - Digital Transformation &amp; Ethics (m/w/d)</v>
      </c>
      <c r="D272" s="7" t="str">
        <f>IFERROR(__xludf.DUMMYFUNCTION("""COMPUTED_VALUE"""),"Düsseldorf")</f>
        <v>Düsseldorf</v>
      </c>
      <c r="E272" s="7" t="str">
        <f>IFERROR(__xludf.DUMMYFUNCTION("""COMPUTED_VALUE"""),"idigiT - Institute for Digital Transformation in H...")</f>
        <v>idigiT - Institute for Digital Transformation in H...</v>
      </c>
      <c r="F272" s="7" t="str">
        <f>IFERROR(__xludf.DUMMYFUNCTION("""COMPUTED_VALUE"""),"None")</f>
        <v>None</v>
      </c>
      <c r="G272" s="7" t="str">
        <f>IFERROR(__xludf.DUMMYFUNCTION("""COMPUTED_VALUE"""),"No salary data")</f>
        <v>No salary data</v>
      </c>
      <c r="H272" s="7" t="str">
        <f>IFERROR(__xludf.DUMMYFUNCTION("""COMPUTED_VALUE"""),"No salary data")</f>
        <v>No salary data</v>
      </c>
      <c r="I272" s="7" t="str">
        <f>IFERROR(__xludf.DUMMYFUNCTION("""COMPUTED_VALUE"""),"No salary data")</f>
        <v>No salary data</v>
      </c>
      <c r="J272" s="7" t="str">
        <f>IFERROR(__xludf.DUMMYFUNCTION("""COMPUTED_VALUE"""),"Git, Agile")</f>
        <v>Git, Agile</v>
      </c>
      <c r="K272" s="7" t="str">
        <f>IFERROR(__xludf.DUMMYFUNCTION("""COMPUTED_VALUE"""),"No job type data")</f>
        <v>No job type data</v>
      </c>
      <c r="L272" s="7" t="str">
        <f>IFERROR(__xludf.DUMMYFUNCTION("""COMPUTED_VALUE"""),"None")</f>
        <v>None</v>
      </c>
      <c r="M272" s="7"/>
      <c r="N272" s="7"/>
      <c r="O272" s="7"/>
    </row>
    <row r="273">
      <c r="A273" s="29">
        <f>IFERROR(__xludf.DUMMYFUNCTION("""COMPUTED_VALUE"""),269.0)</f>
        <v>269</v>
      </c>
      <c r="B273" s="7" t="str">
        <f>IFERROR(__xludf.DUMMYFUNCTION("""COMPUTED_VALUE"""),"Heute")</f>
        <v>Heute</v>
      </c>
      <c r="C273" s="7" t="str">
        <f>IFERROR(__xludf.DUMMYFUNCTION("""COMPUTED_VALUE"""),"BCG Omnia - Topic Analyst, Financial Institutions")</f>
        <v>BCG Omnia - Topic Analyst, Financial Institutions</v>
      </c>
      <c r="D273" s="7" t="str">
        <f>IFERROR(__xludf.DUMMYFUNCTION("""COMPUTED_VALUE"""),"Frankfurt am Main")</f>
        <v>Frankfurt am Main</v>
      </c>
      <c r="E273" s="7" t="str">
        <f>IFERROR(__xludf.DUMMYFUNCTION("""COMPUTED_VALUE"""),"The Boston Consulting Group")</f>
        <v>The Boston Consulting Group</v>
      </c>
      <c r="F273" s="7" t="str">
        <f>IFERROR(__xludf.DUMMYFUNCTION("""COMPUTED_VALUE"""),"None")</f>
        <v>None</v>
      </c>
      <c r="G273" s="7" t="str">
        <f>IFERROR(__xludf.DUMMYFUNCTION("""COMPUTED_VALUE"""),"No salary data")</f>
        <v>No salary data</v>
      </c>
      <c r="H273" s="7" t="str">
        <f>IFERROR(__xludf.DUMMYFUNCTION("""COMPUTED_VALUE"""),"No salary data")</f>
        <v>No salary data</v>
      </c>
      <c r="I273" s="7" t="str">
        <f>IFERROR(__xludf.DUMMYFUNCTION("""COMPUTED_VALUE"""),"No salary data")</f>
        <v>No salary data</v>
      </c>
      <c r="J273" s="7" t="str">
        <f>IFERROR(__xludf.DUMMYFUNCTION("""COMPUTED_VALUE"""),"Python, SQL, Tableau, Excel, Statistic, Git")</f>
        <v>Python, SQL, Tableau, Excel, Statistic, Git</v>
      </c>
      <c r="K273" s="7" t="str">
        <f>IFERROR(__xludf.DUMMYFUNCTION("""COMPUTED_VALUE"""),"Internship")</f>
        <v>Internship</v>
      </c>
      <c r="L273" s="7" t="str">
        <f>IFERROR(__xludf.DUMMYFUNCTION("""COMPUTED_VALUE"""),"4,2")</f>
        <v>4,2</v>
      </c>
      <c r="M273" s="7"/>
      <c r="N273" s="7"/>
      <c r="O273" s="7"/>
    </row>
    <row r="274">
      <c r="A274" s="29">
        <f>IFERROR(__xludf.DUMMYFUNCTION("""COMPUTED_VALUE"""),270.0)</f>
        <v>270</v>
      </c>
      <c r="B274" s="7" t="str">
        <f>IFERROR(__xludf.DUMMYFUNCTION("""COMPUTED_VALUE"""),"vor 26 Tagen")</f>
        <v>vor 26 Tagen</v>
      </c>
      <c r="C274" s="7" t="str">
        <f>IFERROR(__xludf.DUMMYFUNCTION("""COMPUTED_VALUE"""),"Data Scientist Consultant (m/w/x)")</f>
        <v>Data Scientist Consultant (m/w/x)</v>
      </c>
      <c r="D274" s="7" t="str">
        <f>IFERROR(__xludf.DUMMYFUNCTION("""COMPUTED_VALUE"""),"Eschborn")</f>
        <v>Eschborn</v>
      </c>
      <c r="E274" s="7" t="str">
        <f>IFERROR(__xludf.DUMMYFUNCTION("""COMPUTED_VALUE"""),"MA Data Consulting GmbH")</f>
        <v>MA Data Consulting GmbH</v>
      </c>
      <c r="F274" s="7" t="str">
        <f>IFERROR(__xludf.DUMMYFUNCTION("""COMPUTED_VALUE"""),"None")</f>
        <v>None</v>
      </c>
      <c r="G274" s="7" t="str">
        <f>IFERROR(__xludf.DUMMYFUNCTION("""COMPUTED_VALUE"""),"No salary data")</f>
        <v>No salary data</v>
      </c>
      <c r="H274" s="7" t="str">
        <f>IFERROR(__xludf.DUMMYFUNCTION("""COMPUTED_VALUE"""),"No salary data")</f>
        <v>No salary data</v>
      </c>
      <c r="I274" s="7" t="str">
        <f>IFERROR(__xludf.DUMMYFUNCTION("""COMPUTED_VALUE"""),"No salary data")</f>
        <v>No salary data</v>
      </c>
      <c r="J274" s="7" t="str">
        <f>IFERROR(__xludf.DUMMYFUNCTION("""COMPUTED_VALUE"""),"Python, SQL, Git, Agile, Scrum")</f>
        <v>Python, SQL, Git, Agile, Scrum</v>
      </c>
      <c r="K274" s="7" t="str">
        <f>IFERROR(__xludf.DUMMYFUNCTION("""COMPUTED_VALUE"""),"No job type data")</f>
        <v>No job type data</v>
      </c>
      <c r="L274" s="7" t="str">
        <f>IFERROR(__xludf.DUMMYFUNCTION("""COMPUTED_VALUE"""),"None")</f>
        <v>None</v>
      </c>
      <c r="M274" s="7"/>
      <c r="N274" s="7"/>
      <c r="O274" s="7"/>
    </row>
    <row r="275">
      <c r="A275" s="29">
        <f>IFERROR(__xludf.DUMMYFUNCTION("""COMPUTED_VALUE"""),271.0)</f>
        <v>271</v>
      </c>
      <c r="B275" s="7" t="str">
        <f>IFERROR(__xludf.DUMMYFUNCTION("""COMPUTED_VALUE"""),"Vor mehr als 30 Tagen")</f>
        <v>Vor mehr als 30 Tagen</v>
      </c>
      <c r="C275" s="7" t="str">
        <f>IFERROR(__xludf.DUMMYFUNCTION("""COMPUTED_VALUE"""),"Game Data Analyst")</f>
        <v>Game Data Analyst</v>
      </c>
      <c r="D275" s="7" t="str">
        <f>IFERROR(__xludf.DUMMYFUNCTION("""COMPUTED_VALUE"""),"Berlin")</f>
        <v>Berlin</v>
      </c>
      <c r="E275" s="7" t="str">
        <f>IFERROR(__xludf.DUMMYFUNCTION("""COMPUTED_VALUE"""),"Wooga")</f>
        <v>Wooga</v>
      </c>
      <c r="F275" s="7" t="str">
        <f>IFERROR(__xludf.DUMMYFUNCTION("""COMPUTED_VALUE"""),"None")</f>
        <v>None</v>
      </c>
      <c r="G275" s="7" t="str">
        <f>IFERROR(__xludf.DUMMYFUNCTION("""COMPUTED_VALUE"""),"No salary data")</f>
        <v>No salary data</v>
      </c>
      <c r="H275" s="7" t="str">
        <f>IFERROR(__xludf.DUMMYFUNCTION("""COMPUTED_VALUE"""),"No salary data")</f>
        <v>No salary data</v>
      </c>
      <c r="I275" s="7" t="str">
        <f>IFERROR(__xludf.DUMMYFUNCTION("""COMPUTED_VALUE"""),"No salary data")</f>
        <v>No salary data</v>
      </c>
      <c r="J275" s="7" t="str">
        <f>IFERROR(__xludf.DUMMYFUNCTION("""COMPUTED_VALUE"""),"Python, SQL, Tableau, Excel, Statistic")</f>
        <v>Python, SQL, Tableau, Excel, Statistic</v>
      </c>
      <c r="K275" s="7" t="str">
        <f>IFERROR(__xludf.DUMMYFUNCTION("""COMPUTED_VALUE"""),"No job type data")</f>
        <v>No job type data</v>
      </c>
      <c r="L275" s="7" t="str">
        <f>IFERROR(__xludf.DUMMYFUNCTION("""COMPUTED_VALUE"""),"None")</f>
        <v>None</v>
      </c>
      <c r="M275" s="7"/>
      <c r="N275" s="7"/>
      <c r="O275" s="7"/>
    </row>
    <row r="276">
      <c r="A276" s="29">
        <f>IFERROR(__xludf.DUMMYFUNCTION("""COMPUTED_VALUE"""),272.0)</f>
        <v>272</v>
      </c>
      <c r="B276" s="7" t="str">
        <f>IFERROR(__xludf.DUMMYFUNCTION("""COMPUTED_VALUE"""),"Vor mehr als 30 Tagen")</f>
        <v>Vor mehr als 30 Tagen</v>
      </c>
      <c r="C276" s="7" t="str">
        <f>IFERROR(__xludf.DUMMYFUNCTION("""COMPUTED_VALUE"""),"Data Scientist Advanced Analytics (m/w/d)")</f>
        <v>Data Scientist Advanced Analytics (m/w/d)</v>
      </c>
      <c r="D276" s="7" t="str">
        <f>IFERROR(__xludf.DUMMYFUNCTION("""COMPUTED_VALUE"""),"Teltow")</f>
        <v>Teltow</v>
      </c>
      <c r="E276" s="7" t="str">
        <f>IFERROR(__xludf.DUMMYFUNCTION("""COMPUTED_VALUE"""),"Verti Versicherung AG")</f>
        <v>Verti Versicherung AG</v>
      </c>
      <c r="F276" s="7" t="str">
        <f>IFERROR(__xludf.DUMMYFUNCTION("""COMPUTED_VALUE"""),"None")</f>
        <v>None</v>
      </c>
      <c r="G276" s="7" t="str">
        <f>IFERROR(__xludf.DUMMYFUNCTION("""COMPUTED_VALUE"""),"No salary data")</f>
        <v>No salary data</v>
      </c>
      <c r="H276" s="7" t="str">
        <f>IFERROR(__xludf.DUMMYFUNCTION("""COMPUTED_VALUE"""),"No salary data")</f>
        <v>No salary data</v>
      </c>
      <c r="I276" s="7" t="str">
        <f>IFERROR(__xludf.DUMMYFUNCTION("""COMPUTED_VALUE"""),"No salary data")</f>
        <v>No salary data</v>
      </c>
      <c r="J276" s="7" t="str">
        <f>IFERROR(__xludf.DUMMYFUNCTION("""COMPUTED_VALUE"""),"Python, SQL, Machine Learning, Git")</f>
        <v>Python, SQL, Machine Learning, Git</v>
      </c>
      <c r="K276" s="7" t="str">
        <f>IFERROR(__xludf.DUMMYFUNCTION("""COMPUTED_VALUE"""),"No job type data")</f>
        <v>No job type data</v>
      </c>
      <c r="L276" s="7" t="str">
        <f>IFERROR(__xludf.DUMMYFUNCTION("""COMPUTED_VALUE"""),"3,8")</f>
        <v>3,8</v>
      </c>
      <c r="M276" s="7"/>
      <c r="N276" s="7"/>
      <c r="O276" s="7"/>
    </row>
    <row r="277">
      <c r="A277" s="29">
        <f>IFERROR(__xludf.DUMMYFUNCTION("""COMPUTED_VALUE"""),273.0)</f>
        <v>273</v>
      </c>
      <c r="B277" s="7" t="str">
        <f>IFERROR(__xludf.DUMMYFUNCTION("""COMPUTED_VALUE"""),"vor 5 Tagen")</f>
        <v>vor 5 Tagen</v>
      </c>
      <c r="C277" s="7" t="str">
        <f>IFERROR(__xludf.DUMMYFUNCTION("""COMPUTED_VALUE"""),"Business Analyst - All Levels")</f>
        <v>Business Analyst - All Levels</v>
      </c>
      <c r="D277" s="7" t="str">
        <f>IFERROR(__xludf.DUMMYFUNCTION("""COMPUTED_VALUE"""),"Berlin")</f>
        <v>Berlin</v>
      </c>
      <c r="E277" s="7" t="str">
        <f>IFERROR(__xludf.DUMMYFUNCTION("""COMPUTED_VALUE"""),"Pandata")</f>
        <v>Pandata</v>
      </c>
      <c r="F277" s="7" t="str">
        <f>IFERROR(__xludf.DUMMYFUNCTION("""COMPUTED_VALUE"""),"None")</f>
        <v>None</v>
      </c>
      <c r="G277" s="7" t="str">
        <f>IFERROR(__xludf.DUMMYFUNCTION("""COMPUTED_VALUE"""),"No salary data")</f>
        <v>No salary data</v>
      </c>
      <c r="H277" s="7" t="str">
        <f>IFERROR(__xludf.DUMMYFUNCTION("""COMPUTED_VALUE"""),"No salary data")</f>
        <v>No salary data</v>
      </c>
      <c r="I277" s="7" t="str">
        <f>IFERROR(__xludf.DUMMYFUNCTION("""COMPUTED_VALUE"""),"No salary data")</f>
        <v>No salary data</v>
      </c>
      <c r="J277" s="7" t="str">
        <f>IFERROR(__xludf.DUMMYFUNCTION("""COMPUTED_VALUE"""),"SQL, Git")</f>
        <v>SQL, Git</v>
      </c>
      <c r="K277" s="7" t="str">
        <f>IFERROR(__xludf.DUMMYFUNCTION("""COMPUTED_VALUE"""),"No job type data")</f>
        <v>No job type data</v>
      </c>
      <c r="L277" s="7" t="str">
        <f>IFERROR(__xludf.DUMMYFUNCTION("""COMPUTED_VALUE"""),"None")</f>
        <v>None</v>
      </c>
      <c r="M277" s="7"/>
      <c r="N277" s="7"/>
      <c r="O277" s="7"/>
    </row>
    <row r="278">
      <c r="A278" s="29">
        <f>IFERROR(__xludf.DUMMYFUNCTION("""COMPUTED_VALUE"""),274.0)</f>
        <v>274</v>
      </c>
      <c r="B278" s="7" t="str">
        <f>IFERROR(__xludf.DUMMYFUNCTION("""COMPUTED_VALUE"""),"Vor mehr als 30 Tagen")</f>
        <v>Vor mehr als 30 Tagen</v>
      </c>
      <c r="C278" s="7" t="str">
        <f>IFERROR(__xludf.DUMMYFUNCTION("""COMPUTED_VALUE"""),"Praktikant Data Mining")</f>
        <v>Praktikant Data Mining</v>
      </c>
      <c r="D278" s="7" t="str">
        <f>IFERROR(__xludf.DUMMYFUNCTION("""COMPUTED_VALUE"""),"Dortmund")</f>
        <v>Dortmund</v>
      </c>
      <c r="E278" s="7" t="str">
        <f>IFERROR(__xludf.DUMMYFUNCTION("""COMPUTED_VALUE"""),"LIMO GmbH")</f>
        <v>LIMO GmbH</v>
      </c>
      <c r="F278" s="7" t="str">
        <f>IFERROR(__xludf.DUMMYFUNCTION("""COMPUTED_VALUE"""),"None")</f>
        <v>None</v>
      </c>
      <c r="G278" s="7" t="str">
        <f>IFERROR(__xludf.DUMMYFUNCTION("""COMPUTED_VALUE"""),"No salary data")</f>
        <v>No salary data</v>
      </c>
      <c r="H278" s="7" t="str">
        <f>IFERROR(__xludf.DUMMYFUNCTION("""COMPUTED_VALUE"""),"No salary data")</f>
        <v>No salary data</v>
      </c>
      <c r="I278" s="7" t="str">
        <f>IFERROR(__xludf.DUMMYFUNCTION("""COMPUTED_VALUE"""),"No salary data")</f>
        <v>No salary data</v>
      </c>
      <c r="J278" s="7" t="str">
        <f>IFERROR(__xludf.DUMMYFUNCTION("""COMPUTED_VALUE"""),"Python, Machine Learning")</f>
        <v>Python, Machine Learning</v>
      </c>
      <c r="K278" s="7" t="str">
        <f>IFERROR(__xludf.DUMMYFUNCTION("""COMPUTED_VALUE"""),"No job type data")</f>
        <v>No job type data</v>
      </c>
      <c r="L278" s="7" t="str">
        <f>IFERROR(__xludf.DUMMYFUNCTION("""COMPUTED_VALUE"""),"None")</f>
        <v>None</v>
      </c>
      <c r="M278" s="7"/>
      <c r="N278" s="7"/>
      <c r="O278" s="7"/>
    </row>
    <row r="279">
      <c r="A279" s="29">
        <f>IFERROR(__xludf.DUMMYFUNCTION("""COMPUTED_VALUE"""),275.0)</f>
        <v>275</v>
      </c>
      <c r="B279" s="7" t="str">
        <f>IFERROR(__xludf.DUMMYFUNCTION("""COMPUTED_VALUE"""),"vor 5 Tagen")</f>
        <v>vor 5 Tagen</v>
      </c>
      <c r="C279" s="7" t="str">
        <f>IFERROR(__xludf.DUMMYFUNCTION("""COMPUTED_VALUE"""),"Data Architect (m/f/d)")</f>
        <v>Data Architect (m/f/d)</v>
      </c>
      <c r="D279" s="7" t="str">
        <f>IFERROR(__xludf.DUMMYFUNCTION("""COMPUTED_VALUE"""),"Berlin")</f>
        <v>Berlin</v>
      </c>
      <c r="E279" s="7" t="str">
        <f>IFERROR(__xludf.DUMMYFUNCTION("""COMPUTED_VALUE"""),"PaulCamper GmbH")</f>
        <v>PaulCamper GmbH</v>
      </c>
      <c r="F279" s="7" t="str">
        <f>IFERROR(__xludf.DUMMYFUNCTION("""COMPUTED_VALUE"""),"None")</f>
        <v>None</v>
      </c>
      <c r="G279" s="7" t="str">
        <f>IFERROR(__xludf.DUMMYFUNCTION("""COMPUTED_VALUE"""),"No salary data")</f>
        <v>No salary data</v>
      </c>
      <c r="H279" s="7" t="str">
        <f>IFERROR(__xludf.DUMMYFUNCTION("""COMPUTED_VALUE"""),"No salary data")</f>
        <v>No salary data</v>
      </c>
      <c r="I279" s="7" t="str">
        <f>IFERROR(__xludf.DUMMYFUNCTION("""COMPUTED_VALUE"""),"No salary data")</f>
        <v>No salary data</v>
      </c>
      <c r="J279" s="7" t="str">
        <f>IFERROR(__xludf.DUMMYFUNCTION("""COMPUTED_VALUE"""),"Python, SQL, Agile")</f>
        <v>Python, SQL, Agile</v>
      </c>
      <c r="K279" s="7" t="str">
        <f>IFERROR(__xludf.DUMMYFUNCTION("""COMPUTED_VALUE"""),"No job type data")</f>
        <v>No job type data</v>
      </c>
      <c r="L279" s="7" t="str">
        <f>IFERROR(__xludf.DUMMYFUNCTION("""COMPUTED_VALUE"""),"None")</f>
        <v>None</v>
      </c>
      <c r="M279" s="7"/>
      <c r="N279" s="7"/>
      <c r="O279" s="7"/>
    </row>
    <row r="280">
      <c r="A280" s="29">
        <f>IFERROR(__xludf.DUMMYFUNCTION("""COMPUTED_VALUE"""),276.0)</f>
        <v>276</v>
      </c>
      <c r="B280" s="7" t="str">
        <f>IFERROR(__xludf.DUMMYFUNCTION("""COMPUTED_VALUE"""),"vor 11 Tagen")</f>
        <v>vor 11 Tagen</v>
      </c>
      <c r="C280" s="7" t="str">
        <f>IFERROR(__xludf.DUMMYFUNCTION("""COMPUTED_VALUE"""),"Data Engineer Business Intelligence (Google Cloud) (m/w/d)")</f>
        <v>Data Engineer Business Intelligence (Google Cloud) (m/w/d)</v>
      </c>
      <c r="D280" s="7" t="str">
        <f>IFERROR(__xludf.DUMMYFUNCTION("""COMPUTED_VALUE"""),"Aschaffenburg")</f>
        <v>Aschaffenburg</v>
      </c>
      <c r="E280" s="7" t="str">
        <f>IFERROR(__xludf.DUMMYFUNCTION("""COMPUTED_VALUE"""),"Sunlab GmbH")</f>
        <v>Sunlab GmbH</v>
      </c>
      <c r="F280" s="7" t="str">
        <f>IFERROR(__xludf.DUMMYFUNCTION("""COMPUTED_VALUE"""),"None")</f>
        <v>None</v>
      </c>
      <c r="G280" s="7" t="str">
        <f>IFERROR(__xludf.DUMMYFUNCTION("""COMPUTED_VALUE"""),"No salary data")</f>
        <v>No salary data</v>
      </c>
      <c r="H280" s="7" t="str">
        <f>IFERROR(__xludf.DUMMYFUNCTION("""COMPUTED_VALUE"""),"No salary data")</f>
        <v>No salary data</v>
      </c>
      <c r="I280" s="7" t="str">
        <f>IFERROR(__xludf.DUMMYFUNCTION("""COMPUTED_VALUE"""),"No salary data")</f>
        <v>No salary data</v>
      </c>
      <c r="J280" s="7" t="str">
        <f>IFERROR(__xludf.DUMMYFUNCTION("""COMPUTED_VALUE"""),"Python, SQL, Git")</f>
        <v>Python, SQL, Git</v>
      </c>
      <c r="K280" s="7" t="str">
        <f>IFERROR(__xludf.DUMMYFUNCTION("""COMPUTED_VALUE"""),"No job type data")</f>
        <v>No job type data</v>
      </c>
      <c r="L280" s="7" t="str">
        <f>IFERROR(__xludf.DUMMYFUNCTION("""COMPUTED_VALUE"""),"None")</f>
        <v>None</v>
      </c>
      <c r="M280" s="7"/>
      <c r="N280" s="7"/>
      <c r="O280" s="7"/>
    </row>
    <row r="281">
      <c r="A281" s="29">
        <f>IFERROR(__xludf.DUMMYFUNCTION("""COMPUTED_VALUE"""),277.0)</f>
        <v>277</v>
      </c>
      <c r="B281" s="7" t="str">
        <f>IFERROR(__xludf.DUMMYFUNCTION("""COMPUTED_VALUE"""),"vor 2 Tagen")</f>
        <v>vor 2 Tagen</v>
      </c>
      <c r="C281" s="7" t="str">
        <f>IFERROR(__xludf.DUMMYFUNCTION("""COMPUTED_VALUE"""),"Business Intelligence Engineer")</f>
        <v>Business Intelligence Engineer</v>
      </c>
      <c r="D281" s="7" t="str">
        <f>IFERROR(__xludf.DUMMYFUNCTION("""COMPUTED_VALUE"""),"München")</f>
        <v>München</v>
      </c>
      <c r="E281" s="7" t="str">
        <f>IFERROR(__xludf.DUMMYFUNCTION("""COMPUTED_VALUE"""),"Quadient")</f>
        <v>Quadient</v>
      </c>
      <c r="F281" s="7" t="str">
        <f>IFERROR(__xludf.DUMMYFUNCTION("""COMPUTED_VALUE"""),"None")</f>
        <v>None</v>
      </c>
      <c r="G281" s="7" t="str">
        <f>IFERROR(__xludf.DUMMYFUNCTION("""COMPUTED_VALUE"""),"No salary data")</f>
        <v>No salary data</v>
      </c>
      <c r="H281" s="7" t="str">
        <f>IFERROR(__xludf.DUMMYFUNCTION("""COMPUTED_VALUE"""),"No salary data")</f>
        <v>No salary data</v>
      </c>
      <c r="I281" s="7" t="str">
        <f>IFERROR(__xludf.DUMMYFUNCTION("""COMPUTED_VALUE"""),"No salary data")</f>
        <v>No salary data</v>
      </c>
      <c r="J281" s="7" t="str">
        <f>IFERROR(__xludf.DUMMYFUNCTION("""COMPUTED_VALUE"""),"Excel")</f>
        <v>Excel</v>
      </c>
      <c r="K281" s="7" t="str">
        <f>IFERROR(__xludf.DUMMYFUNCTION("""COMPUTED_VALUE"""),"No job type data")</f>
        <v>No job type data</v>
      </c>
      <c r="L281" s="7" t="str">
        <f>IFERROR(__xludf.DUMMYFUNCTION("""COMPUTED_VALUE"""),"None")</f>
        <v>None</v>
      </c>
      <c r="M281" s="7"/>
      <c r="N281" s="7"/>
      <c r="O281" s="7"/>
    </row>
    <row r="282">
      <c r="A282" s="29">
        <f>IFERROR(__xludf.DUMMYFUNCTION("""COMPUTED_VALUE"""),278.0)</f>
        <v>278</v>
      </c>
      <c r="B282" s="7" t="str">
        <f>IFERROR(__xludf.DUMMYFUNCTION("""COMPUTED_VALUE"""),"Vor mehr als 30 Tagen")</f>
        <v>Vor mehr als 30 Tagen</v>
      </c>
      <c r="C282" s="7" t="str">
        <f>IFERROR(__xludf.DUMMYFUNCTION("""COMPUTED_VALUE"""),"Data Analyst (m/w/d)")</f>
        <v>Data Analyst (m/w/d)</v>
      </c>
      <c r="D282" s="7" t="str">
        <f>IFERROR(__xludf.DUMMYFUNCTION("""COMPUTED_VALUE"""),"Dreilinden")</f>
        <v>Dreilinden</v>
      </c>
      <c r="E282" s="7" t="str">
        <f>IFERROR(__xludf.DUMMYFUNCTION("""COMPUTED_VALUE"""),"pioneer communications")</f>
        <v>pioneer communications</v>
      </c>
      <c r="F282" s="7" t="str">
        <f>IFERROR(__xludf.DUMMYFUNCTION("""COMPUTED_VALUE"""),"None")</f>
        <v>None</v>
      </c>
      <c r="G282" s="7" t="str">
        <f>IFERROR(__xludf.DUMMYFUNCTION("""COMPUTED_VALUE"""),"No salary data")</f>
        <v>No salary data</v>
      </c>
      <c r="H282" s="7" t="str">
        <f>IFERROR(__xludf.DUMMYFUNCTION("""COMPUTED_VALUE"""),"No salary data")</f>
        <v>No salary data</v>
      </c>
      <c r="I282" s="7" t="str">
        <f>IFERROR(__xludf.DUMMYFUNCTION("""COMPUTED_VALUE"""),"No salary data")</f>
        <v>No salary data</v>
      </c>
      <c r="J282" s="7" t="str">
        <f>IFERROR(__xludf.DUMMYFUNCTION("""COMPUTED_VALUE"""),"Python, SQL, Tableau, Agile")</f>
        <v>Python, SQL, Tableau, Agile</v>
      </c>
      <c r="K282" s="7" t="str">
        <f>IFERROR(__xludf.DUMMYFUNCTION("""COMPUTED_VALUE"""),"No job type data")</f>
        <v>No job type data</v>
      </c>
      <c r="L282" s="7" t="str">
        <f>IFERROR(__xludf.DUMMYFUNCTION("""COMPUTED_VALUE"""),"None")</f>
        <v>None</v>
      </c>
      <c r="M282" s="7"/>
      <c r="N282" s="7"/>
      <c r="O282" s="7"/>
    </row>
    <row r="283">
      <c r="A283" s="29">
        <f>IFERROR(__xludf.DUMMYFUNCTION("""COMPUTED_VALUE"""),279.0)</f>
        <v>279</v>
      </c>
      <c r="B283" s="7" t="str">
        <f>IFERROR(__xludf.DUMMYFUNCTION("""COMPUTED_VALUE"""),"vor 20 Tagen")</f>
        <v>vor 20 Tagen</v>
      </c>
      <c r="C283" s="7" t="str">
        <f>IFERROR(__xludf.DUMMYFUNCTION("""COMPUTED_VALUE"""),"Praktikant Performance Management / Report and Data Analytic...")</f>
        <v>Praktikant Performance Management / Report and Data Analytic...</v>
      </c>
      <c r="D283" s="7" t="str">
        <f>IFERROR(__xludf.DUMMYFUNCTION("""COMPUTED_VALUE"""),"München")</f>
        <v>München</v>
      </c>
      <c r="E283" s="7" t="str">
        <f>IFERROR(__xludf.DUMMYFUNCTION("""COMPUTED_VALUE"""),"Sky Deutschland")</f>
        <v>Sky Deutschland</v>
      </c>
      <c r="F283" s="7" t="str">
        <f>IFERROR(__xludf.DUMMYFUNCTION("""COMPUTED_VALUE"""),"None")</f>
        <v>None</v>
      </c>
      <c r="G283" s="7" t="str">
        <f>IFERROR(__xludf.DUMMYFUNCTION("""COMPUTED_VALUE"""),"No salary data")</f>
        <v>No salary data</v>
      </c>
      <c r="H283" s="7" t="str">
        <f>IFERROR(__xludf.DUMMYFUNCTION("""COMPUTED_VALUE"""),"No salary data")</f>
        <v>No salary data</v>
      </c>
      <c r="I283" s="7" t="str">
        <f>IFERROR(__xludf.DUMMYFUNCTION("""COMPUTED_VALUE"""),"No salary data")</f>
        <v>No salary data</v>
      </c>
      <c r="J283" s="7"/>
      <c r="K283" s="7" t="str">
        <f>IFERROR(__xludf.DUMMYFUNCTION("""COMPUTED_VALUE"""),"No job type data")</f>
        <v>No job type data</v>
      </c>
      <c r="L283" s="7" t="str">
        <f>IFERROR(__xludf.DUMMYFUNCTION("""COMPUTED_VALUE"""),"3,6")</f>
        <v>3,6</v>
      </c>
      <c r="M283" s="7"/>
      <c r="N283" s="7"/>
      <c r="O283" s="7"/>
    </row>
    <row r="284">
      <c r="A284" s="29">
        <f>IFERROR(__xludf.DUMMYFUNCTION("""COMPUTED_VALUE"""),280.0)</f>
        <v>280</v>
      </c>
      <c r="B284" s="7" t="str">
        <f>IFERROR(__xludf.DUMMYFUNCTION("""COMPUTED_VALUE"""),"Vor mehr als 30 Tagen")</f>
        <v>Vor mehr als 30 Tagen</v>
      </c>
      <c r="C284" s="7" t="str">
        <f>IFERROR(__xludf.DUMMYFUNCTION("""COMPUTED_VALUE"""),"Data Analyst")</f>
        <v>Data Analyst</v>
      </c>
      <c r="D284" s="7" t="str">
        <f>IFERROR(__xludf.DUMMYFUNCTION("""COMPUTED_VALUE"""),"Vaihingen an der Enz")</f>
        <v>Vaihingen an der Enz</v>
      </c>
      <c r="E284" s="7" t="str">
        <f>IFERROR(__xludf.DUMMYFUNCTION("""COMPUTED_VALUE"""),"Axiologic Solutions")</f>
        <v>Axiologic Solutions</v>
      </c>
      <c r="F284" s="7" t="str">
        <f>IFERROR(__xludf.DUMMYFUNCTION("""COMPUTED_VALUE"""),"None")</f>
        <v>None</v>
      </c>
      <c r="G284" s="7" t="str">
        <f>IFERROR(__xludf.DUMMYFUNCTION("""COMPUTED_VALUE"""),"No salary data")</f>
        <v>No salary data</v>
      </c>
      <c r="H284" s="7" t="str">
        <f>IFERROR(__xludf.DUMMYFUNCTION("""COMPUTED_VALUE"""),"No salary data")</f>
        <v>No salary data</v>
      </c>
      <c r="I284" s="7" t="str">
        <f>IFERROR(__xludf.DUMMYFUNCTION("""COMPUTED_VALUE"""),"No salary data")</f>
        <v>No salary data</v>
      </c>
      <c r="J284" s="7" t="str">
        <f>IFERROR(__xludf.DUMMYFUNCTION("""COMPUTED_VALUE"""),"Python")</f>
        <v>Python</v>
      </c>
      <c r="K284" s="7" t="str">
        <f>IFERROR(__xludf.DUMMYFUNCTION("""COMPUTED_VALUE"""),"Contract")</f>
        <v>Contract</v>
      </c>
      <c r="L284" s="7" t="str">
        <f>IFERROR(__xludf.DUMMYFUNCTION("""COMPUTED_VALUE"""),"None")</f>
        <v>None</v>
      </c>
      <c r="M284" s="7"/>
      <c r="N284" s="7"/>
      <c r="O284" s="7"/>
    </row>
    <row r="285">
      <c r="A285" s="29">
        <f>IFERROR(__xludf.DUMMYFUNCTION("""COMPUTED_VALUE"""),281.0)</f>
        <v>281</v>
      </c>
      <c r="B285" s="7" t="str">
        <f>IFERROR(__xludf.DUMMYFUNCTION("""COMPUTED_VALUE"""),"vor 13 Tagen")</f>
        <v>vor 13 Tagen</v>
      </c>
      <c r="C285" s="7" t="str">
        <f>IFERROR(__xludf.DUMMYFUNCTION("""COMPUTED_VALUE"""),"Data Developer (m/w/d)")</f>
        <v>Data Developer (m/w/d)</v>
      </c>
      <c r="D285" s="7" t="str">
        <f>IFERROR(__xludf.DUMMYFUNCTION("""COMPUTED_VALUE"""),"Hamburg")</f>
        <v>Hamburg</v>
      </c>
      <c r="E285" s="7" t="str">
        <f>IFERROR(__xludf.DUMMYFUNCTION("""COMPUTED_VALUE"""),"bonprix")</f>
        <v>bonprix</v>
      </c>
      <c r="F285" s="7" t="str">
        <f>IFERROR(__xludf.DUMMYFUNCTION("""COMPUTED_VALUE"""),"None")</f>
        <v>None</v>
      </c>
      <c r="G285" s="7" t="str">
        <f>IFERROR(__xludf.DUMMYFUNCTION("""COMPUTED_VALUE"""),"No salary data")</f>
        <v>No salary data</v>
      </c>
      <c r="H285" s="7" t="str">
        <f>IFERROR(__xludf.DUMMYFUNCTION("""COMPUTED_VALUE"""),"No salary data")</f>
        <v>No salary data</v>
      </c>
      <c r="I285" s="7" t="str">
        <f>IFERROR(__xludf.DUMMYFUNCTION("""COMPUTED_VALUE"""),"No salary data")</f>
        <v>No salary data</v>
      </c>
      <c r="J285" s="7" t="str">
        <f>IFERROR(__xludf.DUMMYFUNCTION("""COMPUTED_VALUE"""),"SQL, Tableau, Agile")</f>
        <v>SQL, Tableau, Agile</v>
      </c>
      <c r="K285" s="7" t="str">
        <f>IFERROR(__xludf.DUMMYFUNCTION("""COMPUTED_VALUE"""),"No job type data")</f>
        <v>No job type data</v>
      </c>
      <c r="L285" s="7" t="str">
        <f>IFERROR(__xludf.DUMMYFUNCTION("""COMPUTED_VALUE"""),"None")</f>
        <v>None</v>
      </c>
      <c r="M285" s="7"/>
      <c r="N285" s="7"/>
      <c r="O285" s="7"/>
    </row>
    <row r="286">
      <c r="A286" s="29">
        <f>IFERROR(__xludf.DUMMYFUNCTION("""COMPUTED_VALUE"""),282.0)</f>
        <v>282</v>
      </c>
      <c r="B286" s="7" t="str">
        <f>IFERROR(__xludf.DUMMYFUNCTION("""COMPUTED_VALUE"""),"Vor mehr als 30 Tagen")</f>
        <v>Vor mehr als 30 Tagen</v>
      </c>
      <c r="C286" s="7" t="str">
        <f>IFERROR(__xludf.DUMMYFUNCTION("""COMPUTED_VALUE"""),"Professional Data Management (m/f/d)")</f>
        <v>Professional Data Management (m/f/d)</v>
      </c>
      <c r="D286" s="7" t="str">
        <f>IFERROR(__xludf.DUMMYFUNCTION("""COMPUTED_VALUE"""),"München")</f>
        <v>München</v>
      </c>
      <c r="E286" s="7" t="str">
        <f>IFERROR(__xludf.DUMMYFUNCTION("""COMPUTED_VALUE"""),"UniCredit Bank")</f>
        <v>UniCredit Bank</v>
      </c>
      <c r="F286" s="7" t="str">
        <f>IFERROR(__xludf.DUMMYFUNCTION("""COMPUTED_VALUE"""),"None")</f>
        <v>None</v>
      </c>
      <c r="G286" s="7" t="str">
        <f>IFERROR(__xludf.DUMMYFUNCTION("""COMPUTED_VALUE"""),"No salary data")</f>
        <v>No salary data</v>
      </c>
      <c r="H286" s="7" t="str">
        <f>IFERROR(__xludf.DUMMYFUNCTION("""COMPUTED_VALUE"""),"No salary data")</f>
        <v>No salary data</v>
      </c>
      <c r="I286" s="7" t="str">
        <f>IFERROR(__xludf.DUMMYFUNCTION("""COMPUTED_VALUE"""),"No salary data")</f>
        <v>No salary data</v>
      </c>
      <c r="J286" s="7" t="str">
        <f>IFERROR(__xludf.DUMMYFUNCTION("""COMPUTED_VALUE"""),"Python, SQL, Machine Learning, Git")</f>
        <v>Python, SQL, Machine Learning, Git</v>
      </c>
      <c r="K286" s="7" t="str">
        <f>IFERROR(__xludf.DUMMYFUNCTION("""COMPUTED_VALUE"""),"No job type data")</f>
        <v>No job type data</v>
      </c>
      <c r="L286" s="7" t="str">
        <f>IFERROR(__xludf.DUMMYFUNCTION("""COMPUTED_VALUE"""),"3,8")</f>
        <v>3,8</v>
      </c>
      <c r="M286" s="7"/>
      <c r="N286" s="7"/>
      <c r="O286" s="7"/>
    </row>
    <row r="287">
      <c r="A287" s="29">
        <f>IFERROR(__xludf.DUMMYFUNCTION("""COMPUTED_VALUE"""),283.0)</f>
        <v>283</v>
      </c>
      <c r="B287" s="7" t="str">
        <f>IFERROR(__xludf.DUMMYFUNCTION("""COMPUTED_VALUE"""),"Vor mehr als 30 Tagen")</f>
        <v>Vor mehr als 30 Tagen</v>
      </c>
      <c r="C287" s="7" t="str">
        <f>IFERROR(__xludf.DUMMYFUNCTION("""COMPUTED_VALUE"""),"Data Analytics Spezialist (m/w/d)")</f>
        <v>Data Analytics Spezialist (m/w/d)</v>
      </c>
      <c r="D287" s="7" t="str">
        <f>IFERROR(__xludf.DUMMYFUNCTION("""COMPUTED_VALUE"""),"Deutschland")</f>
        <v>Deutschland</v>
      </c>
      <c r="E287" s="7" t="str">
        <f>IFERROR(__xludf.DUMMYFUNCTION("""COMPUTED_VALUE"""),"Cluster Reply")</f>
        <v>Cluster Reply</v>
      </c>
      <c r="F287" s="7" t="str">
        <f>IFERROR(__xludf.DUMMYFUNCTION("""COMPUTED_VALUE"""),"None")</f>
        <v>None</v>
      </c>
      <c r="G287" s="7" t="str">
        <f>IFERROR(__xludf.DUMMYFUNCTION("""COMPUTED_VALUE"""),"No salary data")</f>
        <v>No salary data</v>
      </c>
      <c r="H287" s="7" t="str">
        <f>IFERROR(__xludf.DUMMYFUNCTION("""COMPUTED_VALUE"""),"No salary data")</f>
        <v>No salary data</v>
      </c>
      <c r="I287" s="7" t="str">
        <f>IFERROR(__xludf.DUMMYFUNCTION("""COMPUTED_VALUE"""),"No salary data")</f>
        <v>No salary data</v>
      </c>
      <c r="J287" s="7" t="str">
        <f>IFERROR(__xludf.DUMMYFUNCTION("""COMPUTED_VALUE"""),"Python, SQL, Machine Learning")</f>
        <v>Python, SQL, Machine Learning</v>
      </c>
      <c r="K287" s="7" t="str">
        <f>IFERROR(__xludf.DUMMYFUNCTION("""COMPUTED_VALUE"""),"No job type data")</f>
        <v>No job type data</v>
      </c>
      <c r="L287" s="7" t="str">
        <f>IFERROR(__xludf.DUMMYFUNCTION("""COMPUTED_VALUE"""),"3,1")</f>
        <v>3,1</v>
      </c>
      <c r="M287" s="7"/>
      <c r="N287" s="7"/>
      <c r="O287" s="7"/>
    </row>
    <row r="288">
      <c r="A288" s="29">
        <f>IFERROR(__xludf.DUMMYFUNCTION("""COMPUTED_VALUE"""),284.0)</f>
        <v>284</v>
      </c>
      <c r="B288" s="7" t="str">
        <f>IFERROR(__xludf.DUMMYFUNCTION("""COMPUTED_VALUE"""),"vor 6 Tagen")</f>
        <v>vor 6 Tagen</v>
      </c>
      <c r="C288" s="7" t="str">
        <f>IFERROR(__xludf.DUMMYFUNCTION("""COMPUTED_VALUE"""),"Data Scientist (m/w/d)")</f>
        <v>Data Scientist (m/w/d)</v>
      </c>
      <c r="D288" s="7" t="str">
        <f>IFERROR(__xludf.DUMMYFUNCTION("""COMPUTED_VALUE"""),"Düsseldorf")</f>
        <v>Düsseldorf</v>
      </c>
      <c r="E288" s="7" t="str">
        <f>IFERROR(__xludf.DUMMYFUNCTION("""COMPUTED_VALUE"""),"Vodafone")</f>
        <v>Vodafone</v>
      </c>
      <c r="F288" s="7" t="str">
        <f>IFERROR(__xludf.DUMMYFUNCTION("""COMPUTED_VALUE"""),"None")</f>
        <v>None</v>
      </c>
      <c r="G288" s="7" t="str">
        <f>IFERROR(__xludf.DUMMYFUNCTION("""COMPUTED_VALUE"""),"No salary data")</f>
        <v>No salary data</v>
      </c>
      <c r="H288" s="7" t="str">
        <f>IFERROR(__xludf.DUMMYFUNCTION("""COMPUTED_VALUE"""),"No salary data")</f>
        <v>No salary data</v>
      </c>
      <c r="I288" s="7" t="str">
        <f>IFERROR(__xludf.DUMMYFUNCTION("""COMPUTED_VALUE"""),"No salary data")</f>
        <v>No salary data</v>
      </c>
      <c r="J288" s="7" t="str">
        <f>IFERROR(__xludf.DUMMYFUNCTION("""COMPUTED_VALUE"""),"Python, SQL, Machine Learning, Deep Learning, Git, Agile")</f>
        <v>Python, SQL, Machine Learning, Deep Learning, Git, Agile</v>
      </c>
      <c r="K288" s="7" t="str">
        <f>IFERROR(__xludf.DUMMYFUNCTION("""COMPUTED_VALUE"""),"No job type data")</f>
        <v>No job type data</v>
      </c>
      <c r="L288" s="7" t="str">
        <f>IFERROR(__xludf.DUMMYFUNCTION("""COMPUTED_VALUE"""),"3,9")</f>
        <v>3,9</v>
      </c>
      <c r="M288" s="7"/>
      <c r="N288" s="7"/>
      <c r="O288" s="7"/>
    </row>
    <row r="289">
      <c r="A289" s="29">
        <f>IFERROR(__xludf.DUMMYFUNCTION("""COMPUTED_VALUE"""),285.0)</f>
        <v>285</v>
      </c>
      <c r="B289" s="7" t="str">
        <f>IFERROR(__xludf.DUMMYFUNCTION("""COMPUTED_VALUE"""),"vor 3 Tagen")</f>
        <v>vor 3 Tagen</v>
      </c>
      <c r="C289" s="7" t="str">
        <f>IFERROR(__xludf.DUMMYFUNCTION("""COMPUTED_VALUE"""),"Werkstudent (w/m/d) Data &amp; Analytics")</f>
        <v>Werkstudent (w/m/d) Data &amp; Analytics</v>
      </c>
      <c r="D289" s="7" t="str">
        <f>IFERROR(__xludf.DUMMYFUNCTION("""COMPUTED_VALUE"""),"Köln")</f>
        <v>Köln</v>
      </c>
      <c r="E289" s="7" t="str">
        <f>IFERROR(__xludf.DUMMYFUNCTION("""COMPUTED_VALUE"""),"adesso SE")</f>
        <v>adesso SE</v>
      </c>
      <c r="F289" s="7" t="str">
        <f>IFERROR(__xludf.DUMMYFUNCTION("""COMPUTED_VALUE"""),"None")</f>
        <v>None</v>
      </c>
      <c r="G289" s="7" t="str">
        <f>IFERROR(__xludf.DUMMYFUNCTION("""COMPUTED_VALUE"""),"No salary data")</f>
        <v>No salary data</v>
      </c>
      <c r="H289" s="7" t="str">
        <f>IFERROR(__xludf.DUMMYFUNCTION("""COMPUTED_VALUE"""),"No salary data")</f>
        <v>No salary data</v>
      </c>
      <c r="I289" s="7" t="str">
        <f>IFERROR(__xludf.DUMMYFUNCTION("""COMPUTED_VALUE"""),"No salary data")</f>
        <v>No salary data</v>
      </c>
      <c r="J289" s="7" t="str">
        <f>IFERROR(__xludf.DUMMYFUNCTION("""COMPUTED_VALUE"""),"Excel, Git")</f>
        <v>Excel, Git</v>
      </c>
      <c r="K289" s="7" t="str">
        <f>IFERROR(__xludf.DUMMYFUNCTION("""COMPUTED_VALUE"""),"No job type data")</f>
        <v>No job type data</v>
      </c>
      <c r="L289" s="7" t="str">
        <f>IFERROR(__xludf.DUMMYFUNCTION("""COMPUTED_VALUE"""),"1,7")</f>
        <v>1,7</v>
      </c>
      <c r="M289" s="7"/>
      <c r="N289" s="7"/>
      <c r="O289" s="7"/>
    </row>
    <row r="290">
      <c r="A290" s="29">
        <f>IFERROR(__xludf.DUMMYFUNCTION("""COMPUTED_VALUE"""),286.0)</f>
        <v>286</v>
      </c>
      <c r="B290" s="7" t="str">
        <f>IFERROR(__xludf.DUMMYFUNCTION("""COMPUTED_VALUE"""),"Gerade geschaltet")</f>
        <v>Gerade geschaltet</v>
      </c>
      <c r="C290" s="7" t="str">
        <f>IFERROR(__xludf.DUMMYFUNCTION("""COMPUTED_VALUE"""),"Backend Student Developer (M/F/D)")</f>
        <v>Backend Student Developer (M/F/D)</v>
      </c>
      <c r="D290" s="7" t="str">
        <f>IFERROR(__xludf.DUMMYFUNCTION("""COMPUTED_VALUE"""),"Köln")</f>
        <v>Köln</v>
      </c>
      <c r="E290" s="7" t="str">
        <f>IFERROR(__xludf.DUMMYFUNCTION("""COMPUTED_VALUE"""),"SIDESTREAM")</f>
        <v>SIDESTREAM</v>
      </c>
      <c r="F290" s="7" t="str">
        <f>IFERROR(__xludf.DUMMYFUNCTION("""COMPUTED_VALUE"""),"None")</f>
        <v>None</v>
      </c>
      <c r="G290" s="7" t="str">
        <f>IFERROR(__xludf.DUMMYFUNCTION("""COMPUTED_VALUE"""),"No salary data")</f>
        <v>No salary data</v>
      </c>
      <c r="H290" s="7" t="str">
        <f>IFERROR(__xludf.DUMMYFUNCTION("""COMPUTED_VALUE"""),"No salary data")</f>
        <v>No salary data</v>
      </c>
      <c r="I290" s="7" t="str">
        <f>IFERROR(__xludf.DUMMYFUNCTION("""COMPUTED_VALUE"""),"No salary data")</f>
        <v>No salary data</v>
      </c>
      <c r="J290" s="7" t="str">
        <f>IFERROR(__xludf.DUMMYFUNCTION("""COMPUTED_VALUE"""),"Python, Machine Learning, Git, Agile")</f>
        <v>Python, Machine Learning, Git, Agile</v>
      </c>
      <c r="K290" s="7" t="str">
        <f>IFERROR(__xludf.DUMMYFUNCTION("""COMPUTED_VALUE"""),"No job type data")</f>
        <v>No job type data</v>
      </c>
      <c r="L290" s="7" t="str">
        <f>IFERROR(__xludf.DUMMYFUNCTION("""COMPUTED_VALUE"""),"None")</f>
        <v>None</v>
      </c>
      <c r="M290" s="7"/>
      <c r="N290" s="7"/>
      <c r="O290" s="7"/>
    </row>
    <row r="291">
      <c r="A291" s="29">
        <f>IFERROR(__xludf.DUMMYFUNCTION("""COMPUTED_VALUE"""),287.0)</f>
        <v>287</v>
      </c>
      <c r="B291" s="7" t="str">
        <f>IFERROR(__xludf.DUMMYFUNCTION("""COMPUTED_VALUE"""),"Vor mehr als 30 Tagen")</f>
        <v>Vor mehr als 30 Tagen</v>
      </c>
      <c r="C291" s="7" t="str">
        <f>IFERROR(__xludf.DUMMYFUNCTION("""COMPUTED_VALUE"""),"Database Developer")</f>
        <v>Database Developer</v>
      </c>
      <c r="D291" s="7" t="str">
        <f>IFERROR(__xludf.DUMMYFUNCTION("""COMPUTED_VALUE"""),"Köln")</f>
        <v>Köln</v>
      </c>
      <c r="E291" s="7" t="str">
        <f>IFERROR(__xludf.DUMMYFUNCTION("""COMPUTED_VALUE"""),"Serco Europe")</f>
        <v>Serco Europe</v>
      </c>
      <c r="F291" s="7" t="str">
        <f>IFERROR(__xludf.DUMMYFUNCTION("""COMPUTED_VALUE"""),"None")</f>
        <v>None</v>
      </c>
      <c r="G291" s="7" t="str">
        <f>IFERROR(__xludf.DUMMYFUNCTION("""COMPUTED_VALUE"""),"No salary data")</f>
        <v>No salary data</v>
      </c>
      <c r="H291" s="7" t="str">
        <f>IFERROR(__xludf.DUMMYFUNCTION("""COMPUTED_VALUE"""),"No salary data")</f>
        <v>No salary data</v>
      </c>
      <c r="I291" s="7" t="str">
        <f>IFERROR(__xludf.DUMMYFUNCTION("""COMPUTED_VALUE"""),"No salary data")</f>
        <v>No salary data</v>
      </c>
      <c r="J291" s="7" t="str">
        <f>IFERROR(__xludf.DUMMYFUNCTION("""COMPUTED_VALUE"""),"SQL, Excel, Agile")</f>
        <v>SQL, Excel, Agile</v>
      </c>
      <c r="K291" s="7" t="str">
        <f>IFERROR(__xludf.DUMMYFUNCTION("""COMPUTED_VALUE"""),"Contract")</f>
        <v>Contract</v>
      </c>
      <c r="L291" s="7" t="str">
        <f>IFERROR(__xludf.DUMMYFUNCTION("""COMPUTED_VALUE"""),"3,5")</f>
        <v>3,5</v>
      </c>
      <c r="M291" s="7"/>
      <c r="N291" s="7"/>
      <c r="O291" s="7"/>
    </row>
    <row r="292">
      <c r="A292" s="29">
        <f>IFERROR(__xludf.DUMMYFUNCTION("""COMPUTED_VALUE"""),288.0)</f>
        <v>288</v>
      </c>
      <c r="B292" s="7" t="str">
        <f>IFERROR(__xludf.DUMMYFUNCTION("""COMPUTED_VALUE"""),"Vor mehr als 30 Tagen")</f>
        <v>Vor mehr als 30 Tagen</v>
      </c>
      <c r="C292" s="7" t="str">
        <f>IFERROR(__xludf.DUMMYFUNCTION("""COMPUTED_VALUE"""),"Business Intelligence Analyst (f/m/d)")</f>
        <v>Business Intelligence Analyst (f/m/d)</v>
      </c>
      <c r="D292" s="7" t="str">
        <f>IFERROR(__xludf.DUMMYFUNCTION("""COMPUTED_VALUE"""),"Berlin")</f>
        <v>Berlin</v>
      </c>
      <c r="E292" s="7" t="str">
        <f>IFERROR(__xludf.DUMMYFUNCTION("""COMPUTED_VALUE"""),"Delivery Hero")</f>
        <v>Delivery Hero</v>
      </c>
      <c r="F292" s="7" t="str">
        <f>IFERROR(__xludf.DUMMYFUNCTION("""COMPUTED_VALUE"""),"None")</f>
        <v>None</v>
      </c>
      <c r="G292" s="7" t="str">
        <f>IFERROR(__xludf.DUMMYFUNCTION("""COMPUTED_VALUE"""),"No salary data")</f>
        <v>No salary data</v>
      </c>
      <c r="H292" s="7" t="str">
        <f>IFERROR(__xludf.DUMMYFUNCTION("""COMPUTED_VALUE"""),"No salary data")</f>
        <v>No salary data</v>
      </c>
      <c r="I292" s="7" t="str">
        <f>IFERROR(__xludf.DUMMYFUNCTION("""COMPUTED_VALUE"""),"No salary data")</f>
        <v>No salary data</v>
      </c>
      <c r="J292" s="7" t="str">
        <f>IFERROR(__xludf.DUMMYFUNCTION("""COMPUTED_VALUE"""),"SQL, Tableau, Git")</f>
        <v>SQL, Tableau, Git</v>
      </c>
      <c r="K292" s="7" t="str">
        <f>IFERROR(__xludf.DUMMYFUNCTION("""COMPUTED_VALUE"""),"No job type data")</f>
        <v>No job type data</v>
      </c>
      <c r="L292" s="7" t="str">
        <f>IFERROR(__xludf.DUMMYFUNCTION("""COMPUTED_VALUE"""),"3,7")</f>
        <v>3,7</v>
      </c>
      <c r="M292" s="7"/>
      <c r="N292" s="7"/>
      <c r="O292" s="7"/>
    </row>
    <row r="293">
      <c r="A293" s="29">
        <f>IFERROR(__xludf.DUMMYFUNCTION("""COMPUTED_VALUE"""),289.0)</f>
        <v>289</v>
      </c>
      <c r="B293" s="7" t="str">
        <f>IFERROR(__xludf.DUMMYFUNCTION("""COMPUTED_VALUE"""),"Vor mehr als 30 Tagen")</f>
        <v>Vor mehr als 30 Tagen</v>
      </c>
      <c r="C293" s="7" t="str">
        <f>IFERROR(__xludf.DUMMYFUNCTION("""COMPUTED_VALUE"""),"(Junior) Consultant Business Intelligence (m/w/d) Österreich")</f>
        <v>(Junior) Consultant Business Intelligence (m/w/d) Österreich</v>
      </c>
      <c r="D293" s="7" t="str">
        <f>IFERROR(__xludf.DUMMYFUNCTION("""COMPUTED_VALUE"""),"Deutschland")</f>
        <v>Deutschland</v>
      </c>
      <c r="E293" s="7" t="str">
        <f>IFERROR(__xludf.DUMMYFUNCTION("""COMPUTED_VALUE"""),"mayato GmbH")</f>
        <v>mayato GmbH</v>
      </c>
      <c r="F293" s="7" t="str">
        <f>IFERROR(__xludf.DUMMYFUNCTION("""COMPUTED_VALUE"""),"3,068 € pro Monat")</f>
        <v>3,068 € pro Monat</v>
      </c>
      <c r="G293" s="7">
        <f>IFERROR(__xludf.DUMMYFUNCTION("""COMPUTED_VALUE"""),3068.0)</f>
        <v>3068</v>
      </c>
      <c r="H293" s="7" t="str">
        <f>IFERROR(__xludf.DUMMYFUNCTION("""COMPUTED_VALUE"""),"Monat")</f>
        <v>Monat</v>
      </c>
      <c r="I293" s="7">
        <f>IFERROR(__xludf.DUMMYFUNCTION("""COMPUTED_VALUE"""),36816.0)</f>
        <v>36816</v>
      </c>
      <c r="J293" s="7" t="str">
        <f>IFERROR(__xludf.DUMMYFUNCTION("""COMPUTED_VALUE"""),"Python, SQL")</f>
        <v>Python, SQL</v>
      </c>
      <c r="K293" s="7" t="str">
        <f>IFERROR(__xludf.DUMMYFUNCTION("""COMPUTED_VALUE"""),"No job type data")</f>
        <v>No job type data</v>
      </c>
      <c r="L293" s="7" t="str">
        <f>IFERROR(__xludf.DUMMYFUNCTION("""COMPUTED_VALUE"""),"4,8")</f>
        <v>4,8</v>
      </c>
      <c r="M293" s="7"/>
      <c r="N293" s="7"/>
      <c r="O293" s="7"/>
    </row>
    <row r="294">
      <c r="A294" s="29">
        <f>IFERROR(__xludf.DUMMYFUNCTION("""COMPUTED_VALUE"""),290.0)</f>
        <v>290</v>
      </c>
      <c r="B294" s="7" t="str">
        <f>IFERROR(__xludf.DUMMYFUNCTION("""COMPUTED_VALUE"""),"vor 6 Tagen")</f>
        <v>vor 6 Tagen</v>
      </c>
      <c r="C294" s="7" t="str">
        <f>IFERROR(__xludf.DUMMYFUNCTION("""COMPUTED_VALUE"""),"Data Engineer (w/m/d)")</f>
        <v>Data Engineer (w/m/d)</v>
      </c>
      <c r="D294" s="7" t="str">
        <f>IFERROR(__xludf.DUMMYFUNCTION("""COMPUTED_VALUE"""),"Frankfurt am Main")</f>
        <v>Frankfurt am Main</v>
      </c>
      <c r="E294" s="7" t="str">
        <f>IFERROR(__xludf.DUMMYFUNCTION("""COMPUTED_VALUE"""),"KM.ON")</f>
        <v>KM.ON</v>
      </c>
      <c r="F294" s="7" t="str">
        <f>IFERROR(__xludf.DUMMYFUNCTION("""COMPUTED_VALUE"""),"None")</f>
        <v>None</v>
      </c>
      <c r="G294" s="7" t="str">
        <f>IFERROR(__xludf.DUMMYFUNCTION("""COMPUTED_VALUE"""),"No salary data")</f>
        <v>No salary data</v>
      </c>
      <c r="H294" s="7" t="str">
        <f>IFERROR(__xludf.DUMMYFUNCTION("""COMPUTED_VALUE"""),"No salary data")</f>
        <v>No salary data</v>
      </c>
      <c r="I294" s="7" t="str">
        <f>IFERROR(__xludf.DUMMYFUNCTION("""COMPUTED_VALUE"""),"No salary data")</f>
        <v>No salary data</v>
      </c>
      <c r="J294" s="7" t="str">
        <f>IFERROR(__xludf.DUMMYFUNCTION("""COMPUTED_VALUE"""),"Python, Machine Learning")</f>
        <v>Python, Machine Learning</v>
      </c>
      <c r="K294" s="7" t="str">
        <f>IFERROR(__xludf.DUMMYFUNCTION("""COMPUTED_VALUE"""),"No job type data")</f>
        <v>No job type data</v>
      </c>
      <c r="L294" s="7" t="str">
        <f>IFERROR(__xludf.DUMMYFUNCTION("""COMPUTED_VALUE"""),"None")</f>
        <v>None</v>
      </c>
      <c r="M294" s="7"/>
      <c r="N294" s="7"/>
      <c r="O294" s="7"/>
    </row>
    <row r="295">
      <c r="A295" s="29">
        <f>IFERROR(__xludf.DUMMYFUNCTION("""COMPUTED_VALUE"""),291.0)</f>
        <v>291</v>
      </c>
      <c r="B295" s="7" t="str">
        <f>IFERROR(__xludf.DUMMYFUNCTION("""COMPUTED_VALUE"""),"Vor mehr als 30 Tagen")</f>
        <v>Vor mehr als 30 Tagen</v>
      </c>
      <c r="C295" s="7" t="str">
        <f>IFERROR(__xludf.DUMMYFUNCTION("""COMPUTED_VALUE"""),"Data Scientist (m/w/D)")</f>
        <v>Data Scientist (m/w/D)</v>
      </c>
      <c r="D295" s="7" t="str">
        <f>IFERROR(__xludf.DUMMYFUNCTION("""COMPUTED_VALUE"""),"Gotha")</f>
        <v>Gotha</v>
      </c>
      <c r="E295" s="7" t="str">
        <f>IFERROR(__xludf.DUMMYFUNCTION("""COMPUTED_VALUE"""),"Finanz-DATA")</f>
        <v>Finanz-DATA</v>
      </c>
      <c r="F295" s="7" t="str">
        <f>IFERROR(__xludf.DUMMYFUNCTION("""COMPUTED_VALUE"""),"None")</f>
        <v>None</v>
      </c>
      <c r="G295" s="7" t="str">
        <f>IFERROR(__xludf.DUMMYFUNCTION("""COMPUTED_VALUE"""),"No salary data")</f>
        <v>No salary data</v>
      </c>
      <c r="H295" s="7" t="str">
        <f>IFERROR(__xludf.DUMMYFUNCTION("""COMPUTED_VALUE"""),"No salary data")</f>
        <v>No salary data</v>
      </c>
      <c r="I295" s="7" t="str">
        <f>IFERROR(__xludf.DUMMYFUNCTION("""COMPUTED_VALUE"""),"No salary data")</f>
        <v>No salary data</v>
      </c>
      <c r="J295" s="7" t="str">
        <f>IFERROR(__xludf.DUMMYFUNCTION("""COMPUTED_VALUE"""),"Python, SQL, Agile")</f>
        <v>Python, SQL, Agile</v>
      </c>
      <c r="K295" s="7" t="str">
        <f>IFERROR(__xludf.DUMMYFUNCTION("""COMPUTED_VALUE"""),"No job type data")</f>
        <v>No job type data</v>
      </c>
      <c r="L295" s="7" t="str">
        <f>IFERROR(__xludf.DUMMYFUNCTION("""COMPUTED_VALUE"""),"None")</f>
        <v>None</v>
      </c>
      <c r="M295" s="7"/>
      <c r="N295" s="7"/>
      <c r="O295" s="7"/>
    </row>
    <row r="296">
      <c r="A296" s="29">
        <f>IFERROR(__xludf.DUMMYFUNCTION("""COMPUTED_VALUE"""),292.0)</f>
        <v>292</v>
      </c>
      <c r="B296" s="7" t="str">
        <f>IFERROR(__xludf.DUMMYFUNCTION("""COMPUTED_VALUE"""),"Vor mehr als 30 Tagen")</f>
        <v>Vor mehr als 30 Tagen</v>
      </c>
      <c r="C296" s="7" t="str">
        <f>IFERROR(__xludf.DUMMYFUNCTION("""COMPUTED_VALUE"""),"Data Science Consultant")</f>
        <v>Data Science Consultant</v>
      </c>
      <c r="D296" s="7" t="str">
        <f>IFERROR(__xludf.DUMMYFUNCTION("""COMPUTED_VALUE"""),"München")</f>
        <v>München</v>
      </c>
      <c r="E296" s="7" t="str">
        <f>IFERROR(__xludf.DUMMYFUNCTION("""COMPUTED_VALUE"""),"Munich Re")</f>
        <v>Munich Re</v>
      </c>
      <c r="F296" s="7" t="str">
        <f>IFERROR(__xludf.DUMMYFUNCTION("""COMPUTED_VALUE"""),"None")</f>
        <v>None</v>
      </c>
      <c r="G296" s="7" t="str">
        <f>IFERROR(__xludf.DUMMYFUNCTION("""COMPUTED_VALUE"""),"No salary data")</f>
        <v>No salary data</v>
      </c>
      <c r="H296" s="7" t="str">
        <f>IFERROR(__xludf.DUMMYFUNCTION("""COMPUTED_VALUE"""),"No salary data")</f>
        <v>No salary data</v>
      </c>
      <c r="I296" s="7" t="str">
        <f>IFERROR(__xludf.DUMMYFUNCTION("""COMPUTED_VALUE"""),"No salary data")</f>
        <v>No salary data</v>
      </c>
      <c r="J296" s="7" t="str">
        <f>IFERROR(__xludf.DUMMYFUNCTION("""COMPUTED_VALUE"""),"Python, SQL, Excel, Machine Learning, Statistic")</f>
        <v>Python, SQL, Excel, Machine Learning, Statistic</v>
      </c>
      <c r="K296" s="7" t="str">
        <f>IFERROR(__xludf.DUMMYFUNCTION("""COMPUTED_VALUE"""),"No job type data")</f>
        <v>No job type data</v>
      </c>
      <c r="L296" s="7" t="str">
        <f>IFERROR(__xludf.DUMMYFUNCTION("""COMPUTED_VALUE"""),"4,0")</f>
        <v>4,0</v>
      </c>
      <c r="M296" s="7"/>
      <c r="N296" s="7"/>
      <c r="O296" s="7"/>
    </row>
    <row r="297">
      <c r="A297" s="29">
        <f>IFERROR(__xludf.DUMMYFUNCTION("""COMPUTED_VALUE"""),293.0)</f>
        <v>293</v>
      </c>
      <c r="B297" s="7" t="str">
        <f>IFERROR(__xludf.DUMMYFUNCTION("""COMPUTED_VALUE"""),"Vor mehr als 30 Tagen")</f>
        <v>Vor mehr als 30 Tagen</v>
      </c>
      <c r="C297" s="7" t="str">
        <f>IFERROR(__xludf.DUMMYFUNCTION("""COMPUTED_VALUE"""),"Software Developer for Terma Space (m/f)")</f>
        <v>Software Developer for Terma Space (m/f)</v>
      </c>
      <c r="D297" s="7" t="str">
        <f>IFERROR(__xludf.DUMMYFUNCTION("""COMPUTED_VALUE"""),"Deutschland")</f>
        <v>Deutschland</v>
      </c>
      <c r="E297" s="7" t="str">
        <f>IFERROR(__xludf.DUMMYFUNCTION("""COMPUTED_VALUE"""),"Terma A/S")</f>
        <v>Terma A/S</v>
      </c>
      <c r="F297" s="7" t="str">
        <f>IFERROR(__xludf.DUMMYFUNCTION("""COMPUTED_VALUE"""),"None")</f>
        <v>None</v>
      </c>
      <c r="G297" s="7" t="str">
        <f>IFERROR(__xludf.DUMMYFUNCTION("""COMPUTED_VALUE"""),"No salary data")</f>
        <v>No salary data</v>
      </c>
      <c r="H297" s="7" t="str">
        <f>IFERROR(__xludf.DUMMYFUNCTION("""COMPUTED_VALUE"""),"No salary data")</f>
        <v>No salary data</v>
      </c>
      <c r="I297" s="7" t="str">
        <f>IFERROR(__xludf.DUMMYFUNCTION("""COMPUTED_VALUE"""),"No salary data")</f>
        <v>No salary data</v>
      </c>
      <c r="J297" s="7" t="str">
        <f>IFERROR(__xludf.DUMMYFUNCTION("""COMPUTED_VALUE"""),"Python, SQL, Git, Agile, Scrum")</f>
        <v>Python, SQL, Git, Agile, Scrum</v>
      </c>
      <c r="K297" s="7" t="str">
        <f>IFERROR(__xludf.DUMMYFUNCTION("""COMPUTED_VALUE"""),"No job type data")</f>
        <v>No job type data</v>
      </c>
      <c r="L297" s="7" t="str">
        <f>IFERROR(__xludf.DUMMYFUNCTION("""COMPUTED_VALUE"""),"None")</f>
        <v>None</v>
      </c>
      <c r="M297" s="7"/>
      <c r="N297" s="7"/>
      <c r="O297" s="7"/>
    </row>
    <row r="298">
      <c r="A298" s="29">
        <f>IFERROR(__xludf.DUMMYFUNCTION("""COMPUTED_VALUE"""),294.0)</f>
        <v>294</v>
      </c>
      <c r="B298" s="7" t="str">
        <f>IFERROR(__xludf.DUMMYFUNCTION("""COMPUTED_VALUE"""),"Vor mehr als 30 Tagen")</f>
        <v>Vor mehr als 30 Tagen</v>
      </c>
      <c r="C298" s="7" t="str">
        <f>IFERROR(__xludf.DUMMYFUNCTION("""COMPUTED_VALUE"""),"Junior IoT Analytics Engineer")</f>
        <v>Junior IoT Analytics Engineer</v>
      </c>
      <c r="D298" s="7" t="str">
        <f>IFERROR(__xludf.DUMMYFUNCTION("""COMPUTED_VALUE"""),"Köln")</f>
        <v>Köln</v>
      </c>
      <c r="E298" s="7" t="str">
        <f>IFERROR(__xludf.DUMMYFUNCTION("""COMPUTED_VALUE"""),"Qimia GmbH")</f>
        <v>Qimia GmbH</v>
      </c>
      <c r="F298" s="7" t="str">
        <f>IFERROR(__xludf.DUMMYFUNCTION("""COMPUTED_VALUE"""),"None")</f>
        <v>None</v>
      </c>
      <c r="G298" s="7" t="str">
        <f>IFERROR(__xludf.DUMMYFUNCTION("""COMPUTED_VALUE"""),"No salary data")</f>
        <v>No salary data</v>
      </c>
      <c r="H298" s="7" t="str">
        <f>IFERROR(__xludf.DUMMYFUNCTION("""COMPUTED_VALUE"""),"No salary data")</f>
        <v>No salary data</v>
      </c>
      <c r="I298" s="7" t="str">
        <f>IFERROR(__xludf.DUMMYFUNCTION("""COMPUTED_VALUE"""),"No salary data")</f>
        <v>No salary data</v>
      </c>
      <c r="J298" s="7" t="str">
        <f>IFERROR(__xludf.DUMMYFUNCTION("""COMPUTED_VALUE"""),"Python, SQL, Machine Learning, Deep Learning")</f>
        <v>Python, SQL, Machine Learning, Deep Learning</v>
      </c>
      <c r="K298" s="7" t="str">
        <f>IFERROR(__xludf.DUMMYFUNCTION("""COMPUTED_VALUE"""),"No job type data")</f>
        <v>No job type data</v>
      </c>
      <c r="L298" s="7" t="str">
        <f>IFERROR(__xludf.DUMMYFUNCTION("""COMPUTED_VALUE"""),"None")</f>
        <v>None</v>
      </c>
      <c r="M298" s="7"/>
      <c r="N298" s="7"/>
      <c r="O298" s="7"/>
    </row>
    <row r="299">
      <c r="A299" s="29">
        <f>IFERROR(__xludf.DUMMYFUNCTION("""COMPUTED_VALUE"""),295.0)</f>
        <v>295</v>
      </c>
      <c r="B299" s="7" t="str">
        <f>IFERROR(__xludf.DUMMYFUNCTION("""COMPUTED_VALUE"""),"Vor mehr als 30 Tagen")</f>
        <v>Vor mehr als 30 Tagen</v>
      </c>
      <c r="C299" s="7" t="str">
        <f>IFERROR(__xludf.DUMMYFUNCTION("""COMPUTED_VALUE"""),"(Junior) Analytics Expert (m/f/d)")</f>
        <v>(Junior) Analytics Expert (m/f/d)</v>
      </c>
      <c r="D299" s="7" t="str">
        <f>IFERROR(__xludf.DUMMYFUNCTION("""COMPUTED_VALUE"""),"Bad Homburg vor der Höhe")</f>
        <v>Bad Homburg vor der Höhe</v>
      </c>
      <c r="E299" s="7" t="str">
        <f>IFERROR(__xludf.DUMMYFUNCTION("""COMPUTED_VALUE"""),"Fresenius Kabi")</f>
        <v>Fresenius Kabi</v>
      </c>
      <c r="F299" s="7" t="str">
        <f>IFERROR(__xludf.DUMMYFUNCTION("""COMPUTED_VALUE"""),"None")</f>
        <v>None</v>
      </c>
      <c r="G299" s="7" t="str">
        <f>IFERROR(__xludf.DUMMYFUNCTION("""COMPUTED_VALUE"""),"No salary data")</f>
        <v>No salary data</v>
      </c>
      <c r="H299" s="7" t="str">
        <f>IFERROR(__xludf.DUMMYFUNCTION("""COMPUTED_VALUE"""),"No salary data")</f>
        <v>No salary data</v>
      </c>
      <c r="I299" s="7" t="str">
        <f>IFERROR(__xludf.DUMMYFUNCTION("""COMPUTED_VALUE"""),"No salary data")</f>
        <v>No salary data</v>
      </c>
      <c r="J299" s="7" t="str">
        <f>IFERROR(__xludf.DUMMYFUNCTION("""COMPUTED_VALUE"""),"Python, SQL, Excel, Machine Learning")</f>
        <v>Python, SQL, Excel, Machine Learning</v>
      </c>
      <c r="K299" s="7" t="str">
        <f>IFERROR(__xludf.DUMMYFUNCTION("""COMPUTED_VALUE"""),"No job type data")</f>
        <v>No job type data</v>
      </c>
      <c r="L299" s="7" t="str">
        <f>IFERROR(__xludf.DUMMYFUNCTION("""COMPUTED_VALUE"""),"3,7")</f>
        <v>3,7</v>
      </c>
      <c r="M299" s="7"/>
      <c r="N299" s="7"/>
      <c r="O299" s="7"/>
    </row>
    <row r="300">
      <c r="A300" s="29">
        <f>IFERROR(__xludf.DUMMYFUNCTION("""COMPUTED_VALUE"""),296.0)</f>
        <v>296</v>
      </c>
      <c r="B300" s="7" t="str">
        <f>IFERROR(__xludf.DUMMYFUNCTION("""COMPUTED_VALUE"""),"Gerade geschaltet")</f>
        <v>Gerade geschaltet</v>
      </c>
      <c r="C300" s="7" t="str">
        <f>IFERROR(__xludf.DUMMYFUNCTION("""COMPUTED_VALUE"""),"Senior IT Business Data Analyst (f/m/d)")</f>
        <v>Senior IT Business Data Analyst (f/m/d)</v>
      </c>
      <c r="D300" s="7" t="str">
        <f>IFERROR(__xludf.DUMMYFUNCTION("""COMPUTED_VALUE"""),"Ismaning")</f>
        <v>Ismaning</v>
      </c>
      <c r="E300" s="7" t="str">
        <f>IFERROR(__xludf.DUMMYFUNCTION("""COMPUTED_VALUE"""),"Essity")</f>
        <v>Essity</v>
      </c>
      <c r="F300" s="7" t="str">
        <f>IFERROR(__xludf.DUMMYFUNCTION("""COMPUTED_VALUE"""),"None")</f>
        <v>None</v>
      </c>
      <c r="G300" s="7" t="str">
        <f>IFERROR(__xludf.DUMMYFUNCTION("""COMPUTED_VALUE"""),"No salary data")</f>
        <v>No salary data</v>
      </c>
      <c r="H300" s="7" t="str">
        <f>IFERROR(__xludf.DUMMYFUNCTION("""COMPUTED_VALUE"""),"No salary data")</f>
        <v>No salary data</v>
      </c>
      <c r="I300" s="7" t="str">
        <f>IFERROR(__xludf.DUMMYFUNCTION("""COMPUTED_VALUE"""),"No salary data")</f>
        <v>No salary data</v>
      </c>
      <c r="J300" s="7" t="str">
        <f>IFERROR(__xludf.DUMMYFUNCTION("""COMPUTED_VALUE"""),"Python, SQL, Git, Agile")</f>
        <v>Python, SQL, Git, Agile</v>
      </c>
      <c r="K300" s="7" t="str">
        <f>IFERROR(__xludf.DUMMYFUNCTION("""COMPUTED_VALUE"""),"No job type data")</f>
        <v>No job type data</v>
      </c>
      <c r="L300" s="7" t="str">
        <f>IFERROR(__xludf.DUMMYFUNCTION("""COMPUTED_VALUE"""),"3,8")</f>
        <v>3,8</v>
      </c>
      <c r="M300" s="7"/>
      <c r="N300" s="7"/>
      <c r="O300" s="7"/>
    </row>
    <row r="301">
      <c r="A301" s="29">
        <f>IFERROR(__xludf.DUMMYFUNCTION("""COMPUTED_VALUE"""),297.0)</f>
        <v>297</v>
      </c>
      <c r="B301" s="7" t="str">
        <f>IFERROR(__xludf.DUMMYFUNCTION("""COMPUTED_VALUE"""),"Vor mehr als 30 Tagen")</f>
        <v>Vor mehr als 30 Tagen</v>
      </c>
      <c r="C301" s="7" t="str">
        <f>IFERROR(__xludf.DUMMYFUNCTION("""COMPUTED_VALUE"""),"Praktikum Data Analytics (d/m/w)")</f>
        <v>Praktikum Data Analytics (d/m/w)</v>
      </c>
      <c r="D301" s="7" t="str">
        <f>IFERROR(__xludf.DUMMYFUNCTION("""COMPUTED_VALUE"""),"Berlin")</f>
        <v>Berlin</v>
      </c>
      <c r="E301" s="7" t="str">
        <f>IFERROR(__xludf.DUMMYFUNCTION("""COMPUTED_VALUE"""),"AUTO1")</f>
        <v>AUTO1</v>
      </c>
      <c r="F301" s="7" t="str">
        <f>IFERROR(__xludf.DUMMYFUNCTION("""COMPUTED_VALUE"""),"None")</f>
        <v>None</v>
      </c>
      <c r="G301" s="7" t="str">
        <f>IFERROR(__xludf.DUMMYFUNCTION("""COMPUTED_VALUE"""),"No salary data")</f>
        <v>No salary data</v>
      </c>
      <c r="H301" s="7" t="str">
        <f>IFERROR(__xludf.DUMMYFUNCTION("""COMPUTED_VALUE"""),"No salary data")</f>
        <v>No salary data</v>
      </c>
      <c r="I301" s="7" t="str">
        <f>IFERROR(__xludf.DUMMYFUNCTION("""COMPUTED_VALUE"""),"No salary data")</f>
        <v>No salary data</v>
      </c>
      <c r="J301" s="7" t="str">
        <f>IFERROR(__xludf.DUMMYFUNCTION("""COMPUTED_VALUE"""),"Python, SQL, Google Sheets, Git")</f>
        <v>Python, SQL, Google Sheets, Git</v>
      </c>
      <c r="K301" s="7" t="str">
        <f>IFERROR(__xludf.DUMMYFUNCTION("""COMPUTED_VALUE"""),"No job type data")</f>
        <v>No job type data</v>
      </c>
      <c r="L301" s="7" t="str">
        <f>IFERROR(__xludf.DUMMYFUNCTION("""COMPUTED_VALUE"""),"3,1")</f>
        <v>3,1</v>
      </c>
      <c r="M301" s="7"/>
      <c r="N301" s="7"/>
      <c r="O301" s="7"/>
    </row>
    <row r="302">
      <c r="A302" s="29">
        <f>IFERROR(__xludf.DUMMYFUNCTION("""COMPUTED_VALUE"""),298.0)</f>
        <v>298</v>
      </c>
      <c r="B302" s="7" t="str">
        <f>IFERROR(__xludf.DUMMYFUNCTION("""COMPUTED_VALUE"""),"vor 24 Tagen")</f>
        <v>vor 24 Tagen</v>
      </c>
      <c r="C302" s="7" t="str">
        <f>IFERROR(__xludf.DUMMYFUNCTION("""COMPUTED_VALUE"""),"(Senior) Data Analyst (f/m/d)")</f>
        <v>(Senior) Data Analyst (f/m/d)</v>
      </c>
      <c r="D302" s="7" t="str">
        <f>IFERROR(__xludf.DUMMYFUNCTION("""COMPUTED_VALUE"""),"München")</f>
        <v>München</v>
      </c>
      <c r="E302" s="7" t="str">
        <f>IFERROR(__xludf.DUMMYFUNCTION("""COMPUTED_VALUE"""),"Fidor Bank")</f>
        <v>Fidor Bank</v>
      </c>
      <c r="F302" s="7" t="str">
        <f>IFERROR(__xludf.DUMMYFUNCTION("""COMPUTED_VALUE"""),"None")</f>
        <v>None</v>
      </c>
      <c r="G302" s="7" t="str">
        <f>IFERROR(__xludf.DUMMYFUNCTION("""COMPUTED_VALUE"""),"No salary data")</f>
        <v>No salary data</v>
      </c>
      <c r="H302" s="7" t="str">
        <f>IFERROR(__xludf.DUMMYFUNCTION("""COMPUTED_VALUE"""),"No salary data")</f>
        <v>No salary data</v>
      </c>
      <c r="I302" s="7" t="str">
        <f>IFERROR(__xludf.DUMMYFUNCTION("""COMPUTED_VALUE"""),"No salary data")</f>
        <v>No salary data</v>
      </c>
      <c r="J302" s="7" t="str">
        <f>IFERROR(__xludf.DUMMYFUNCTION("""COMPUTED_VALUE"""),"Python, SQL, Tableau, Statistic, Git")</f>
        <v>Python, SQL, Tableau, Statistic, Git</v>
      </c>
      <c r="K302" s="7" t="str">
        <f>IFERROR(__xludf.DUMMYFUNCTION("""COMPUTED_VALUE"""),"Permanent")</f>
        <v>Permanent</v>
      </c>
      <c r="L302" s="7" t="str">
        <f>IFERROR(__xludf.DUMMYFUNCTION("""COMPUTED_VALUE"""),"None")</f>
        <v>None</v>
      </c>
      <c r="M302" s="7"/>
      <c r="N302" s="7"/>
      <c r="O302" s="7"/>
    </row>
    <row r="303">
      <c r="A303" s="29">
        <f>IFERROR(__xludf.DUMMYFUNCTION("""COMPUTED_VALUE"""),299.0)</f>
        <v>299</v>
      </c>
      <c r="B303" s="7" t="str">
        <f>IFERROR(__xludf.DUMMYFUNCTION("""COMPUTED_VALUE"""),"Vor mehr als 30 Tagen")</f>
        <v>Vor mehr als 30 Tagen</v>
      </c>
      <c r="C303" s="7" t="str">
        <f>IFERROR(__xludf.DUMMYFUNCTION("""COMPUTED_VALUE"""),"Data Center Consultant, Mainframe, Google Cloud")</f>
        <v>Data Center Consultant, Mainframe, Google Cloud</v>
      </c>
      <c r="D303" s="7" t="str">
        <f>IFERROR(__xludf.DUMMYFUNCTION("""COMPUTED_VALUE"""),"München")</f>
        <v>München</v>
      </c>
      <c r="E303" s="7" t="str">
        <f>IFERROR(__xludf.DUMMYFUNCTION("""COMPUTED_VALUE"""),"Google")</f>
        <v>Google</v>
      </c>
      <c r="F303" s="7" t="str">
        <f>IFERROR(__xludf.DUMMYFUNCTION("""COMPUTED_VALUE"""),"None")</f>
        <v>None</v>
      </c>
      <c r="G303" s="7" t="str">
        <f>IFERROR(__xludf.DUMMYFUNCTION("""COMPUTED_VALUE"""),"No salary data")</f>
        <v>No salary data</v>
      </c>
      <c r="H303" s="7" t="str">
        <f>IFERROR(__xludf.DUMMYFUNCTION("""COMPUTED_VALUE"""),"No salary data")</f>
        <v>No salary data</v>
      </c>
      <c r="I303" s="7" t="str">
        <f>IFERROR(__xludf.DUMMYFUNCTION("""COMPUTED_VALUE"""),"No salary data")</f>
        <v>No salary data</v>
      </c>
      <c r="J303" s="7"/>
      <c r="K303" s="7" t="str">
        <f>IFERROR(__xludf.DUMMYFUNCTION("""COMPUTED_VALUE"""),"No job type data")</f>
        <v>No job type data</v>
      </c>
      <c r="L303" s="7" t="str">
        <f>IFERROR(__xludf.DUMMYFUNCTION("""COMPUTED_VALUE"""),"4,3")</f>
        <v>4,3</v>
      </c>
      <c r="M303" s="7"/>
      <c r="N303" s="7"/>
      <c r="O303" s="7"/>
    </row>
    <row r="304">
      <c r="A304" s="29">
        <f>IFERROR(__xludf.DUMMYFUNCTION("""COMPUTED_VALUE"""),300.0)</f>
        <v>300</v>
      </c>
      <c r="B304" s="7" t="str">
        <f>IFERROR(__xludf.DUMMYFUNCTION("""COMPUTED_VALUE"""),"vor 12 Tagen")</f>
        <v>vor 12 Tagen</v>
      </c>
      <c r="C304" s="7" t="str">
        <f>IFERROR(__xludf.DUMMYFUNCTION("""COMPUTED_VALUE"""),"Junior Data Analyst *")</f>
        <v>Junior Data Analyst *</v>
      </c>
      <c r="D304" s="7" t="str">
        <f>IFERROR(__xludf.DUMMYFUNCTION("""COMPUTED_VALUE"""),"Berlin")</f>
        <v>Berlin</v>
      </c>
      <c r="E304" s="30" t="str">
        <f>IFERROR(__xludf.DUMMYFUNCTION("""COMPUTED_VALUE"""),"myToys.de")</f>
        <v>myToys.de</v>
      </c>
      <c r="F304" s="7" t="str">
        <f>IFERROR(__xludf.DUMMYFUNCTION("""COMPUTED_VALUE"""),"None")</f>
        <v>None</v>
      </c>
      <c r="G304" s="7" t="str">
        <f>IFERROR(__xludf.DUMMYFUNCTION("""COMPUTED_VALUE"""),"No salary data")</f>
        <v>No salary data</v>
      </c>
      <c r="H304" s="7" t="str">
        <f>IFERROR(__xludf.DUMMYFUNCTION("""COMPUTED_VALUE"""),"No salary data")</f>
        <v>No salary data</v>
      </c>
      <c r="I304" s="7" t="str">
        <f>IFERROR(__xludf.DUMMYFUNCTION("""COMPUTED_VALUE"""),"No salary data")</f>
        <v>No salary data</v>
      </c>
      <c r="J304" s="7" t="str">
        <f>IFERROR(__xludf.DUMMYFUNCTION("""COMPUTED_VALUE"""),"SQL, Tableau, Agile")</f>
        <v>SQL, Tableau, Agile</v>
      </c>
      <c r="K304" s="7" t="str">
        <f>IFERROR(__xludf.DUMMYFUNCTION("""COMPUTED_VALUE"""),"No job type data")</f>
        <v>No job type data</v>
      </c>
      <c r="L304" s="7" t="str">
        <f>IFERROR(__xludf.DUMMYFUNCTION("""COMPUTED_VALUE"""),"None")</f>
        <v>None</v>
      </c>
      <c r="M304" s="7"/>
      <c r="N304" s="7"/>
      <c r="O304" s="7"/>
    </row>
    <row r="305">
      <c r="A305" s="29">
        <f>IFERROR(__xludf.DUMMYFUNCTION("""COMPUTED_VALUE"""),301.0)</f>
        <v>301</v>
      </c>
      <c r="B305" s="7" t="str">
        <f>IFERROR(__xludf.DUMMYFUNCTION("""COMPUTED_VALUE"""),"Vor mehr als 30 Tagen")</f>
        <v>Vor mehr als 30 Tagen</v>
      </c>
      <c r="C305" s="7" t="str">
        <f>IFERROR(__xludf.DUMMYFUNCTION("""COMPUTED_VALUE"""),"Business Intelligence Engineer")</f>
        <v>Business Intelligence Engineer</v>
      </c>
      <c r="D305" s="7" t="str">
        <f>IFERROR(__xludf.DUMMYFUNCTION("""COMPUTED_VALUE"""),"Berlin")</f>
        <v>Berlin</v>
      </c>
      <c r="E305" s="7" t="str">
        <f>IFERROR(__xludf.DUMMYFUNCTION("""COMPUTED_VALUE"""),"Amazon EU SARL(Germany Branch)")</f>
        <v>Amazon EU SARL(Germany Branch)</v>
      </c>
      <c r="F305" s="7" t="str">
        <f>IFERROR(__xludf.DUMMYFUNCTION("""COMPUTED_VALUE"""),"None")</f>
        <v>None</v>
      </c>
      <c r="G305" s="7" t="str">
        <f>IFERROR(__xludf.DUMMYFUNCTION("""COMPUTED_VALUE"""),"No salary data")</f>
        <v>No salary data</v>
      </c>
      <c r="H305" s="7" t="str">
        <f>IFERROR(__xludf.DUMMYFUNCTION("""COMPUTED_VALUE"""),"No salary data")</f>
        <v>No salary data</v>
      </c>
      <c r="I305" s="7" t="str">
        <f>IFERROR(__xludf.DUMMYFUNCTION("""COMPUTED_VALUE"""),"No salary data")</f>
        <v>No salary data</v>
      </c>
      <c r="J305" s="7" t="str">
        <f>IFERROR(__xludf.DUMMYFUNCTION("""COMPUTED_VALUE"""),"Python, SQL, Excel")</f>
        <v>Python, SQL, Excel</v>
      </c>
      <c r="K305" s="7" t="str">
        <f>IFERROR(__xludf.DUMMYFUNCTION("""COMPUTED_VALUE"""),"No job type data")</f>
        <v>No job type data</v>
      </c>
      <c r="L305" s="7" t="str">
        <f>IFERROR(__xludf.DUMMYFUNCTION("""COMPUTED_VALUE"""),"3,6")</f>
        <v>3,6</v>
      </c>
      <c r="M305" s="7"/>
      <c r="N305" s="7"/>
      <c r="O305" s="7"/>
    </row>
    <row r="306">
      <c r="A306" s="29">
        <f>IFERROR(__xludf.DUMMYFUNCTION("""COMPUTED_VALUE"""),302.0)</f>
        <v>302</v>
      </c>
      <c r="B306" s="7" t="str">
        <f>IFERROR(__xludf.DUMMYFUNCTION("""COMPUTED_VALUE"""),"vor 20 Tagen")</f>
        <v>vor 20 Tagen</v>
      </c>
      <c r="C306" s="7" t="str">
        <f>IFERROR(__xludf.DUMMYFUNCTION("""COMPUTED_VALUE"""),"SQL Developer (m/w/d)")</f>
        <v>SQL Developer (m/w/d)</v>
      </c>
      <c r="D306" s="7" t="str">
        <f>IFERROR(__xludf.DUMMYFUNCTION("""COMPUTED_VALUE"""),"Essen")</f>
        <v>Essen</v>
      </c>
      <c r="E306" s="7" t="str">
        <f>IFERROR(__xludf.DUMMYFUNCTION("""COMPUTED_VALUE"""),"C4 Connect Hamburg KG")</f>
        <v>C4 Connect Hamburg KG</v>
      </c>
      <c r="F306" s="7" t="str">
        <f>IFERROR(__xludf.DUMMYFUNCTION("""COMPUTED_VALUE"""),"None")</f>
        <v>None</v>
      </c>
      <c r="G306" s="7" t="str">
        <f>IFERROR(__xludf.DUMMYFUNCTION("""COMPUTED_VALUE"""),"No salary data")</f>
        <v>No salary data</v>
      </c>
      <c r="H306" s="7" t="str">
        <f>IFERROR(__xludf.DUMMYFUNCTION("""COMPUTED_VALUE"""),"No salary data")</f>
        <v>No salary data</v>
      </c>
      <c r="I306" s="7" t="str">
        <f>IFERROR(__xludf.DUMMYFUNCTION("""COMPUTED_VALUE"""),"No salary data")</f>
        <v>No salary data</v>
      </c>
      <c r="J306" s="7" t="str">
        <f>IFERROR(__xludf.DUMMYFUNCTION("""COMPUTED_VALUE"""),"SQL")</f>
        <v>SQL</v>
      </c>
      <c r="K306" s="7" t="str">
        <f>IFERROR(__xludf.DUMMYFUNCTION("""COMPUTED_VALUE"""),"No job type data")</f>
        <v>No job type data</v>
      </c>
      <c r="L306" s="7" t="str">
        <f>IFERROR(__xludf.DUMMYFUNCTION("""COMPUTED_VALUE"""),"None")</f>
        <v>None</v>
      </c>
      <c r="M306" s="7"/>
      <c r="N306" s="7"/>
      <c r="O306" s="7"/>
    </row>
    <row r="307">
      <c r="A307" s="29">
        <f>IFERROR(__xludf.DUMMYFUNCTION("""COMPUTED_VALUE"""),303.0)</f>
        <v>303</v>
      </c>
      <c r="B307" s="7" t="str">
        <f>IFERROR(__xludf.DUMMYFUNCTION("""COMPUTED_VALUE"""),"Vor mehr als 30 Tagen")</f>
        <v>Vor mehr als 30 Tagen</v>
      </c>
      <c r="C307" s="7" t="str">
        <f>IFERROR(__xludf.DUMMYFUNCTION("""COMPUTED_VALUE"""),"International Access Point, Business Intelligence Engineer")</f>
        <v>International Access Point, Business Intelligence Engineer</v>
      </c>
      <c r="D307" s="7" t="str">
        <f>IFERROR(__xludf.DUMMYFUNCTION("""COMPUTED_VALUE"""),"Berlin")</f>
        <v>Berlin</v>
      </c>
      <c r="E307" s="7" t="str">
        <f>IFERROR(__xludf.DUMMYFUNCTION("""COMPUTED_VALUE"""),"Amazon EU SARL(Germany Branch)")</f>
        <v>Amazon EU SARL(Germany Branch)</v>
      </c>
      <c r="F307" s="7" t="str">
        <f>IFERROR(__xludf.DUMMYFUNCTION("""COMPUTED_VALUE"""),"None")</f>
        <v>None</v>
      </c>
      <c r="G307" s="7" t="str">
        <f>IFERROR(__xludf.DUMMYFUNCTION("""COMPUTED_VALUE"""),"No salary data")</f>
        <v>No salary data</v>
      </c>
      <c r="H307" s="7" t="str">
        <f>IFERROR(__xludf.DUMMYFUNCTION("""COMPUTED_VALUE"""),"No salary data")</f>
        <v>No salary data</v>
      </c>
      <c r="I307" s="7" t="str">
        <f>IFERROR(__xludf.DUMMYFUNCTION("""COMPUTED_VALUE"""),"No salary data")</f>
        <v>No salary data</v>
      </c>
      <c r="J307" s="7" t="str">
        <f>IFERROR(__xludf.DUMMYFUNCTION("""COMPUTED_VALUE"""),"Python, SQL, Tableau, Excel, Statistic")</f>
        <v>Python, SQL, Tableau, Excel, Statistic</v>
      </c>
      <c r="K307" s="7" t="str">
        <f>IFERROR(__xludf.DUMMYFUNCTION("""COMPUTED_VALUE"""),"No job type data")</f>
        <v>No job type data</v>
      </c>
      <c r="L307" s="7" t="str">
        <f>IFERROR(__xludf.DUMMYFUNCTION("""COMPUTED_VALUE"""),"3,6")</f>
        <v>3,6</v>
      </c>
      <c r="M307" s="7"/>
      <c r="N307" s="7"/>
      <c r="O307" s="7"/>
    </row>
    <row r="308">
      <c r="A308" s="29">
        <f>IFERROR(__xludf.DUMMYFUNCTION("""COMPUTED_VALUE"""),304.0)</f>
        <v>304</v>
      </c>
      <c r="B308" s="7" t="str">
        <f>IFERROR(__xludf.DUMMYFUNCTION("""COMPUTED_VALUE"""),"Vor mehr als 30 Tagen")</f>
        <v>Vor mehr als 30 Tagen</v>
      </c>
      <c r="C308" s="7" t="str">
        <f>IFERROR(__xludf.DUMMYFUNCTION("""COMPUTED_VALUE"""),"Data Analyst mit Schwerpunkt Logistik (m/w/d)")</f>
        <v>Data Analyst mit Schwerpunkt Logistik (m/w/d)</v>
      </c>
      <c r="D308" s="7" t="str">
        <f>IFERROR(__xludf.DUMMYFUNCTION("""COMPUTED_VALUE"""),"Würzburg")</f>
        <v>Würzburg</v>
      </c>
      <c r="E308" s="7" t="str">
        <f>IFERROR(__xludf.DUMMYFUNCTION("""COMPUTED_VALUE"""),"XXXLutz")</f>
        <v>XXXLutz</v>
      </c>
      <c r="F308" s="7" t="str">
        <f>IFERROR(__xludf.DUMMYFUNCTION("""COMPUTED_VALUE"""),"None")</f>
        <v>None</v>
      </c>
      <c r="G308" s="7" t="str">
        <f>IFERROR(__xludf.DUMMYFUNCTION("""COMPUTED_VALUE"""),"No salary data")</f>
        <v>No salary data</v>
      </c>
      <c r="H308" s="7" t="str">
        <f>IFERROR(__xludf.DUMMYFUNCTION("""COMPUTED_VALUE"""),"No salary data")</f>
        <v>No salary data</v>
      </c>
      <c r="I308" s="7" t="str">
        <f>IFERROR(__xludf.DUMMYFUNCTION("""COMPUTED_VALUE"""),"No salary data")</f>
        <v>No salary data</v>
      </c>
      <c r="J308" s="7" t="str">
        <f>IFERROR(__xludf.DUMMYFUNCTION("""COMPUTED_VALUE"""),"SQL, Tableau, Excel")</f>
        <v>SQL, Tableau, Excel</v>
      </c>
      <c r="K308" s="7" t="str">
        <f>IFERROR(__xludf.DUMMYFUNCTION("""COMPUTED_VALUE"""),"No job type data")</f>
        <v>No job type data</v>
      </c>
      <c r="L308" s="7" t="str">
        <f>IFERROR(__xludf.DUMMYFUNCTION("""COMPUTED_VALUE"""),"2,9")</f>
        <v>2,9</v>
      </c>
      <c r="M308" s="7"/>
      <c r="N308" s="7"/>
      <c r="O308" s="7"/>
    </row>
    <row r="309">
      <c r="A309" s="29">
        <f>IFERROR(__xludf.DUMMYFUNCTION("""COMPUTED_VALUE"""),305.0)</f>
        <v>305</v>
      </c>
      <c r="B309" s="7" t="str">
        <f>IFERROR(__xludf.DUMMYFUNCTION("""COMPUTED_VALUE"""),"vor 20 Tagen")</f>
        <v>vor 20 Tagen</v>
      </c>
      <c r="C309" s="7" t="str">
        <f>IFERROR(__xludf.DUMMYFUNCTION("""COMPUTED_VALUE"""),"Backend Developer Financial Data Analytics (f/m/d)")</f>
        <v>Backend Developer Financial Data Analytics (f/m/d)</v>
      </c>
      <c r="D309" s="7" t="str">
        <f>IFERROR(__xludf.DUMMYFUNCTION("""COMPUTED_VALUE"""),"München")</f>
        <v>München</v>
      </c>
      <c r="E309" s="7" t="str">
        <f>IFERROR(__xludf.DUMMYFUNCTION("""COMPUTED_VALUE"""),"IconicFinance GmbH")</f>
        <v>IconicFinance GmbH</v>
      </c>
      <c r="F309" s="7" t="str">
        <f>IFERROR(__xludf.DUMMYFUNCTION("""COMPUTED_VALUE"""),"None")</f>
        <v>None</v>
      </c>
      <c r="G309" s="7" t="str">
        <f>IFERROR(__xludf.DUMMYFUNCTION("""COMPUTED_VALUE"""),"No salary data")</f>
        <v>No salary data</v>
      </c>
      <c r="H309" s="7" t="str">
        <f>IFERROR(__xludf.DUMMYFUNCTION("""COMPUTED_VALUE"""),"No salary data")</f>
        <v>No salary data</v>
      </c>
      <c r="I309" s="7" t="str">
        <f>IFERROR(__xludf.DUMMYFUNCTION("""COMPUTED_VALUE"""),"No salary data")</f>
        <v>No salary data</v>
      </c>
      <c r="J309" s="7" t="str">
        <f>IFERROR(__xludf.DUMMYFUNCTION("""COMPUTED_VALUE"""),"Python, Machine Learning, Agile, Scrum, Kanban")</f>
        <v>Python, Machine Learning, Agile, Scrum, Kanban</v>
      </c>
      <c r="K309" s="7" t="str">
        <f>IFERROR(__xludf.DUMMYFUNCTION("""COMPUTED_VALUE"""),"Contract")</f>
        <v>Contract</v>
      </c>
      <c r="L309" s="7" t="str">
        <f>IFERROR(__xludf.DUMMYFUNCTION("""COMPUTED_VALUE"""),"None")</f>
        <v>None</v>
      </c>
      <c r="M309" s="7"/>
      <c r="N309" s="7"/>
      <c r="O309" s="7"/>
    </row>
    <row r="310">
      <c r="A310" s="29">
        <f>IFERROR(__xludf.DUMMYFUNCTION("""COMPUTED_VALUE"""),306.0)</f>
        <v>306</v>
      </c>
      <c r="B310" s="7" t="str">
        <f>IFERROR(__xludf.DUMMYFUNCTION("""COMPUTED_VALUE"""),"vor 16 Tagen")</f>
        <v>vor 16 Tagen</v>
      </c>
      <c r="C310" s="7" t="str">
        <f>IFERROR(__xludf.DUMMYFUNCTION("""COMPUTED_VALUE"""),"Praktikant Predictive Excellence Solutions und Data Science...")</f>
        <v>Praktikant Predictive Excellence Solutions und Data Science...</v>
      </c>
      <c r="D310" s="7" t="str">
        <f>IFERROR(__xludf.DUMMYFUNCTION("""COMPUTED_VALUE"""),"Deutschland")</f>
        <v>Deutschland</v>
      </c>
      <c r="E310" s="7" t="str">
        <f>IFERROR(__xludf.DUMMYFUNCTION("""COMPUTED_VALUE"""),"PwC")</f>
        <v>PwC</v>
      </c>
      <c r="F310" s="7" t="str">
        <f>IFERROR(__xludf.DUMMYFUNCTION("""COMPUTED_VALUE"""),"None")</f>
        <v>None</v>
      </c>
      <c r="G310" s="7" t="str">
        <f>IFERROR(__xludf.DUMMYFUNCTION("""COMPUTED_VALUE"""),"No salary data")</f>
        <v>No salary data</v>
      </c>
      <c r="H310" s="7" t="str">
        <f>IFERROR(__xludf.DUMMYFUNCTION("""COMPUTED_VALUE"""),"No salary data")</f>
        <v>No salary data</v>
      </c>
      <c r="I310" s="7" t="str">
        <f>IFERROR(__xludf.DUMMYFUNCTION("""COMPUTED_VALUE"""),"No salary data")</f>
        <v>No salary data</v>
      </c>
      <c r="J310" s="7" t="str">
        <f>IFERROR(__xludf.DUMMYFUNCTION("""COMPUTED_VALUE"""),"Python, SQL, Excel, Machine Learning")</f>
        <v>Python, SQL, Excel, Machine Learning</v>
      </c>
      <c r="K310" s="7" t="str">
        <f>IFERROR(__xludf.DUMMYFUNCTION("""COMPUTED_VALUE"""),"No job type data")</f>
        <v>No job type data</v>
      </c>
      <c r="L310" s="7" t="str">
        <f>IFERROR(__xludf.DUMMYFUNCTION("""COMPUTED_VALUE"""),"4,0")</f>
        <v>4,0</v>
      </c>
      <c r="M310" s="7"/>
      <c r="N310" s="7"/>
      <c r="O310" s="7"/>
    </row>
    <row r="311">
      <c r="A311" s="29">
        <f>IFERROR(__xludf.DUMMYFUNCTION("""COMPUTED_VALUE"""),307.0)</f>
        <v>307</v>
      </c>
      <c r="B311" s="7" t="str">
        <f>IFERROR(__xludf.DUMMYFUNCTION("""COMPUTED_VALUE"""),"Vor mehr als 30 Tagen")</f>
        <v>Vor mehr als 30 Tagen</v>
      </c>
      <c r="C311" s="7" t="str">
        <f>IFERROR(__xludf.DUMMYFUNCTION("""COMPUTED_VALUE"""),"Data Logistics Consultant (m/f/x)")</f>
        <v>Data Logistics Consultant (m/f/x)</v>
      </c>
      <c r="D311" s="7" t="str">
        <f>IFERROR(__xludf.DUMMYFUNCTION("""COMPUTED_VALUE"""),"Deutschland")</f>
        <v>Deutschland</v>
      </c>
      <c r="E311" s="7" t="str">
        <f>IFERROR(__xludf.DUMMYFUNCTION("""COMPUTED_VALUE"""),"Raiffeisen Capital Management")</f>
        <v>Raiffeisen Capital Management</v>
      </c>
      <c r="F311" s="7" t="str">
        <f>IFERROR(__xludf.DUMMYFUNCTION("""COMPUTED_VALUE"""),"46,000 € pro Jahr")</f>
        <v>46,000 € pro Jahr</v>
      </c>
      <c r="G311" s="7">
        <f>IFERROR(__xludf.DUMMYFUNCTION("""COMPUTED_VALUE"""),46000.0)</f>
        <v>46000</v>
      </c>
      <c r="H311" s="7" t="str">
        <f>IFERROR(__xludf.DUMMYFUNCTION("""COMPUTED_VALUE"""),"Jahr")</f>
        <v>Jahr</v>
      </c>
      <c r="I311" s="7">
        <f>IFERROR(__xludf.DUMMYFUNCTION("""COMPUTED_VALUE"""),46000.0)</f>
        <v>46000</v>
      </c>
      <c r="J311" s="7" t="str">
        <f>IFERROR(__xludf.DUMMYFUNCTION("""COMPUTED_VALUE"""),"Excel, Git, Agile")</f>
        <v>Excel, Git, Agile</v>
      </c>
      <c r="K311" s="7" t="str">
        <f>IFERROR(__xludf.DUMMYFUNCTION("""COMPUTED_VALUE"""),"No job type data")</f>
        <v>No job type data</v>
      </c>
      <c r="L311" s="7" t="str">
        <f>IFERROR(__xludf.DUMMYFUNCTION("""COMPUTED_VALUE"""),"None")</f>
        <v>None</v>
      </c>
      <c r="M311" s="7"/>
      <c r="N311" s="7"/>
      <c r="O311" s="7"/>
    </row>
    <row r="312">
      <c r="A312" s="29">
        <f>IFERROR(__xludf.DUMMYFUNCTION("""COMPUTED_VALUE"""),308.0)</f>
        <v>308</v>
      </c>
      <c r="B312" s="7" t="str">
        <f>IFERROR(__xludf.DUMMYFUNCTION("""COMPUTED_VALUE"""),"Vor mehr als 30 Tagen")</f>
        <v>Vor mehr als 30 Tagen</v>
      </c>
      <c r="C312" s="7" t="str">
        <f>IFERROR(__xludf.DUMMYFUNCTION("""COMPUTED_VALUE"""),"Data Analyst (m/w/d)")</f>
        <v>Data Analyst (m/w/d)</v>
      </c>
      <c r="D312" s="7" t="str">
        <f>IFERROR(__xludf.DUMMYFUNCTION("""COMPUTED_VALUE"""),"Hamburg")</f>
        <v>Hamburg</v>
      </c>
      <c r="E312" s="7" t="str">
        <f>IFERROR(__xludf.DUMMYFUNCTION("""COMPUTED_VALUE"""),"Jungheinrich")</f>
        <v>Jungheinrich</v>
      </c>
      <c r="F312" s="7" t="str">
        <f>IFERROR(__xludf.DUMMYFUNCTION("""COMPUTED_VALUE"""),"None")</f>
        <v>None</v>
      </c>
      <c r="G312" s="7" t="str">
        <f>IFERROR(__xludf.DUMMYFUNCTION("""COMPUTED_VALUE"""),"No salary data")</f>
        <v>No salary data</v>
      </c>
      <c r="H312" s="7" t="str">
        <f>IFERROR(__xludf.DUMMYFUNCTION("""COMPUTED_VALUE"""),"No salary data")</f>
        <v>No salary data</v>
      </c>
      <c r="I312" s="7" t="str">
        <f>IFERROR(__xludf.DUMMYFUNCTION("""COMPUTED_VALUE"""),"No salary data")</f>
        <v>No salary data</v>
      </c>
      <c r="J312" s="7" t="str">
        <f>IFERROR(__xludf.DUMMYFUNCTION("""COMPUTED_VALUE"""),"Python, SQL, Agile")</f>
        <v>Python, SQL, Agile</v>
      </c>
      <c r="K312" s="7" t="str">
        <f>IFERROR(__xludf.DUMMYFUNCTION("""COMPUTED_VALUE"""),"No job type data")</f>
        <v>No job type data</v>
      </c>
      <c r="L312" s="7" t="str">
        <f>IFERROR(__xludf.DUMMYFUNCTION("""COMPUTED_VALUE"""),"3,3")</f>
        <v>3,3</v>
      </c>
      <c r="M312" s="7"/>
      <c r="N312" s="7"/>
      <c r="O312" s="7"/>
    </row>
    <row r="313">
      <c r="A313" s="29">
        <f>IFERROR(__xludf.DUMMYFUNCTION("""COMPUTED_VALUE"""),309.0)</f>
        <v>309</v>
      </c>
      <c r="B313" s="7" t="str">
        <f>IFERROR(__xludf.DUMMYFUNCTION("""COMPUTED_VALUE"""),"Vor mehr als 30 Tagen")</f>
        <v>Vor mehr als 30 Tagen</v>
      </c>
      <c r="C313" s="7" t="str">
        <f>IFERROR(__xludf.DUMMYFUNCTION("""COMPUTED_VALUE"""),"Data Engineer (m/f/x) at CyberSolutions")</f>
        <v>Data Engineer (m/f/x) at CyberSolutions</v>
      </c>
      <c r="D313" s="7" t="str">
        <f>IFERROR(__xludf.DUMMYFUNCTION("""COMPUTED_VALUE"""),"München")</f>
        <v>München</v>
      </c>
      <c r="E313" s="7" t="str">
        <f>IFERROR(__xludf.DUMMYFUNCTION("""COMPUTED_VALUE"""),"Hubert Burda Media")</f>
        <v>Hubert Burda Media</v>
      </c>
      <c r="F313" s="7" t="str">
        <f>IFERROR(__xludf.DUMMYFUNCTION("""COMPUTED_VALUE"""),"None")</f>
        <v>None</v>
      </c>
      <c r="G313" s="7" t="str">
        <f>IFERROR(__xludf.DUMMYFUNCTION("""COMPUTED_VALUE"""),"No salary data")</f>
        <v>No salary data</v>
      </c>
      <c r="H313" s="7" t="str">
        <f>IFERROR(__xludf.DUMMYFUNCTION("""COMPUTED_VALUE"""),"No salary data")</f>
        <v>No salary data</v>
      </c>
      <c r="I313" s="7" t="str">
        <f>IFERROR(__xludf.DUMMYFUNCTION("""COMPUTED_VALUE"""),"No salary data")</f>
        <v>No salary data</v>
      </c>
      <c r="J313" s="7" t="str">
        <f>IFERROR(__xludf.DUMMYFUNCTION("""COMPUTED_VALUE"""),"SQL, Excel")</f>
        <v>SQL, Excel</v>
      </c>
      <c r="K313" s="7" t="str">
        <f>IFERROR(__xludf.DUMMYFUNCTION("""COMPUTED_VALUE"""),"No job type data")</f>
        <v>No job type data</v>
      </c>
      <c r="L313" s="7" t="str">
        <f>IFERROR(__xludf.DUMMYFUNCTION("""COMPUTED_VALUE"""),"4,1")</f>
        <v>4,1</v>
      </c>
      <c r="M313" s="7"/>
      <c r="N313" s="7"/>
      <c r="O313" s="7"/>
    </row>
    <row r="314">
      <c r="A314" s="29">
        <f>IFERROR(__xludf.DUMMYFUNCTION("""COMPUTED_VALUE"""),310.0)</f>
        <v>310</v>
      </c>
      <c r="B314" s="7" t="str">
        <f>IFERROR(__xludf.DUMMYFUNCTION("""COMPUTED_VALUE"""),"Vor mehr als 30 Tagen")</f>
        <v>Vor mehr als 30 Tagen</v>
      </c>
      <c r="C314" s="7" t="str">
        <f>IFERROR(__xludf.DUMMYFUNCTION("""COMPUTED_VALUE"""),"Expert (m/w/d) Business Intelligence &amp; Data Warehouse")</f>
        <v>Expert (m/w/d) Business Intelligence &amp; Data Warehouse</v>
      </c>
      <c r="D314" s="7" t="str">
        <f>IFERROR(__xludf.DUMMYFUNCTION("""COMPUTED_VALUE"""),"Frankfurt am Main")</f>
        <v>Frankfurt am Main</v>
      </c>
      <c r="E314" s="7" t="str">
        <f>IFERROR(__xludf.DUMMYFUNCTION("""COMPUTED_VALUE"""),"ING-DiBa AG")</f>
        <v>ING-DiBa AG</v>
      </c>
      <c r="F314" s="7" t="str">
        <f>IFERROR(__xludf.DUMMYFUNCTION("""COMPUTED_VALUE"""),"None")</f>
        <v>None</v>
      </c>
      <c r="G314" s="7" t="str">
        <f>IFERROR(__xludf.DUMMYFUNCTION("""COMPUTED_VALUE"""),"No salary data")</f>
        <v>No salary data</v>
      </c>
      <c r="H314" s="7" t="str">
        <f>IFERROR(__xludf.DUMMYFUNCTION("""COMPUTED_VALUE"""),"No salary data")</f>
        <v>No salary data</v>
      </c>
      <c r="I314" s="7" t="str">
        <f>IFERROR(__xludf.DUMMYFUNCTION("""COMPUTED_VALUE"""),"No salary data")</f>
        <v>No salary data</v>
      </c>
      <c r="J314" s="7" t="str">
        <f>IFERROR(__xludf.DUMMYFUNCTION("""COMPUTED_VALUE"""),"SQL, Agile, Scrum")</f>
        <v>SQL, Agile, Scrum</v>
      </c>
      <c r="K314" s="7" t="str">
        <f>IFERROR(__xludf.DUMMYFUNCTION("""COMPUTED_VALUE"""),"No job type data")</f>
        <v>No job type data</v>
      </c>
      <c r="L314" s="7" t="str">
        <f>IFERROR(__xludf.DUMMYFUNCTION("""COMPUTED_VALUE"""),"3,6")</f>
        <v>3,6</v>
      </c>
      <c r="M314" s="7"/>
      <c r="N314" s="7"/>
      <c r="O314" s="7"/>
    </row>
    <row r="315">
      <c r="A315" s="29">
        <f>IFERROR(__xludf.DUMMYFUNCTION("""COMPUTED_VALUE"""),311.0)</f>
        <v>311</v>
      </c>
      <c r="B315" s="7" t="str">
        <f>IFERROR(__xludf.DUMMYFUNCTION("""COMPUTED_VALUE"""),"Vor mehr als 30 Tagen")</f>
        <v>Vor mehr als 30 Tagen</v>
      </c>
      <c r="C315" s="7" t="str">
        <f>IFERROR(__xludf.DUMMYFUNCTION("""COMPUTED_VALUE"""),"Software Developer / Data Analyst (m/w/d)")</f>
        <v>Software Developer / Data Analyst (m/w/d)</v>
      </c>
      <c r="D315" s="7" t="str">
        <f>IFERROR(__xludf.DUMMYFUNCTION("""COMPUTED_VALUE"""),"Stuttgart")</f>
        <v>Stuttgart</v>
      </c>
      <c r="E315" s="7" t="str">
        <f>IFERROR(__xludf.DUMMYFUNCTION("""COMPUTED_VALUE"""),"FEV Software &amp; Testing Solutions GmbH")</f>
        <v>FEV Software &amp; Testing Solutions GmbH</v>
      </c>
      <c r="F315" s="7" t="str">
        <f>IFERROR(__xludf.DUMMYFUNCTION("""COMPUTED_VALUE"""),"None")</f>
        <v>None</v>
      </c>
      <c r="G315" s="7" t="str">
        <f>IFERROR(__xludf.DUMMYFUNCTION("""COMPUTED_VALUE"""),"No salary data")</f>
        <v>No salary data</v>
      </c>
      <c r="H315" s="7" t="str">
        <f>IFERROR(__xludf.DUMMYFUNCTION("""COMPUTED_VALUE"""),"No salary data")</f>
        <v>No salary data</v>
      </c>
      <c r="I315" s="7" t="str">
        <f>IFERROR(__xludf.DUMMYFUNCTION("""COMPUTED_VALUE"""),"No salary data")</f>
        <v>No salary data</v>
      </c>
      <c r="J315" s="7" t="str">
        <f>IFERROR(__xludf.DUMMYFUNCTION("""COMPUTED_VALUE"""),"Python, SQL, Git, Agile, Scrum, Jira")</f>
        <v>Python, SQL, Git, Agile, Scrum, Jira</v>
      </c>
      <c r="K315" s="7" t="str">
        <f>IFERROR(__xludf.DUMMYFUNCTION("""COMPUTED_VALUE"""),"No job type data")</f>
        <v>No job type data</v>
      </c>
      <c r="L315" s="7" t="str">
        <f>IFERROR(__xludf.DUMMYFUNCTION("""COMPUTED_VALUE"""),"None")</f>
        <v>None</v>
      </c>
      <c r="M315" s="7"/>
      <c r="N315" s="7"/>
      <c r="O315" s="7"/>
    </row>
    <row r="316">
      <c r="A316" s="29">
        <f>IFERROR(__xludf.DUMMYFUNCTION("""COMPUTED_VALUE"""),312.0)</f>
        <v>312</v>
      </c>
      <c r="B316" s="7" t="str">
        <f>IFERROR(__xludf.DUMMYFUNCTION("""COMPUTED_VALUE"""),"Vor mehr als 30 Tagen")</f>
        <v>Vor mehr als 30 Tagen</v>
      </c>
      <c r="C316" s="7" t="str">
        <f>IFERROR(__xludf.DUMMYFUNCTION("""COMPUTED_VALUE"""),"Data analyst for Next Generation Sequencing (NGS) - m|f|d")</f>
        <v>Data analyst for Next Generation Sequencing (NGS) - m|f|d</v>
      </c>
      <c r="D316" s="7" t="str">
        <f>IFERROR(__xludf.DUMMYFUNCTION("""COMPUTED_VALUE"""),"Bergisch Gladbach")</f>
        <v>Bergisch Gladbach</v>
      </c>
      <c r="E316" s="7" t="str">
        <f>IFERROR(__xludf.DUMMYFUNCTION("""COMPUTED_VALUE"""),"Miltenyi Biotec B.V. &amp; Co. KG")</f>
        <v>Miltenyi Biotec B.V. &amp; Co. KG</v>
      </c>
      <c r="F316" s="7" t="str">
        <f>IFERROR(__xludf.DUMMYFUNCTION("""COMPUTED_VALUE"""),"None")</f>
        <v>None</v>
      </c>
      <c r="G316" s="7" t="str">
        <f>IFERROR(__xludf.DUMMYFUNCTION("""COMPUTED_VALUE"""),"No salary data")</f>
        <v>No salary data</v>
      </c>
      <c r="H316" s="7" t="str">
        <f>IFERROR(__xludf.DUMMYFUNCTION("""COMPUTED_VALUE"""),"No salary data")</f>
        <v>No salary data</v>
      </c>
      <c r="I316" s="7" t="str">
        <f>IFERROR(__xludf.DUMMYFUNCTION("""COMPUTED_VALUE"""),"No salary data")</f>
        <v>No salary data</v>
      </c>
      <c r="J316" s="7" t="str">
        <f>IFERROR(__xludf.DUMMYFUNCTION("""COMPUTED_VALUE"""),"Python, Statistic, Linux")</f>
        <v>Python, Statistic, Linux</v>
      </c>
      <c r="K316" s="7" t="str">
        <f>IFERROR(__xludf.DUMMYFUNCTION("""COMPUTED_VALUE"""),"No job type data")</f>
        <v>No job type data</v>
      </c>
      <c r="L316" s="7" t="str">
        <f>IFERROR(__xludf.DUMMYFUNCTION("""COMPUTED_VALUE"""),"None")</f>
        <v>None</v>
      </c>
      <c r="M316" s="7"/>
      <c r="N316" s="7"/>
      <c r="O316" s="7"/>
    </row>
    <row r="317">
      <c r="A317" s="29">
        <f>IFERROR(__xludf.DUMMYFUNCTION("""COMPUTED_VALUE"""),313.0)</f>
        <v>313</v>
      </c>
      <c r="B317" s="7" t="str">
        <f>IFERROR(__xludf.DUMMYFUNCTION("""COMPUTED_VALUE"""),"Vor mehr als 30 Tagen")</f>
        <v>Vor mehr als 30 Tagen</v>
      </c>
      <c r="C317" s="7" t="str">
        <f>IFERROR(__xludf.DUMMYFUNCTION("""COMPUTED_VALUE"""),"(Junior) Consultant Data Engineering (m/w/d)")</f>
        <v>(Junior) Consultant Data Engineering (m/w/d)</v>
      </c>
      <c r="D317" s="7" t="str">
        <f>IFERROR(__xludf.DUMMYFUNCTION("""COMPUTED_VALUE"""),"Deutschland")</f>
        <v>Deutschland</v>
      </c>
      <c r="E317" s="7" t="str">
        <f>IFERROR(__xludf.DUMMYFUNCTION("""COMPUTED_VALUE"""),"mayato GmbH")</f>
        <v>mayato GmbH</v>
      </c>
      <c r="F317" s="7" t="str">
        <f>IFERROR(__xludf.DUMMYFUNCTION("""COMPUTED_VALUE"""),"None")</f>
        <v>None</v>
      </c>
      <c r="G317" s="7" t="str">
        <f>IFERROR(__xludf.DUMMYFUNCTION("""COMPUTED_VALUE"""),"No salary data")</f>
        <v>No salary data</v>
      </c>
      <c r="H317" s="7" t="str">
        <f>IFERROR(__xludf.DUMMYFUNCTION("""COMPUTED_VALUE"""),"No salary data")</f>
        <v>No salary data</v>
      </c>
      <c r="I317" s="7" t="str">
        <f>IFERROR(__xludf.DUMMYFUNCTION("""COMPUTED_VALUE"""),"No salary data")</f>
        <v>No salary data</v>
      </c>
      <c r="J317" s="7" t="str">
        <f>IFERROR(__xludf.DUMMYFUNCTION("""COMPUTED_VALUE"""),"Python, SQL")</f>
        <v>Python, SQL</v>
      </c>
      <c r="K317" s="7" t="str">
        <f>IFERROR(__xludf.DUMMYFUNCTION("""COMPUTED_VALUE"""),"No job type data")</f>
        <v>No job type data</v>
      </c>
      <c r="L317" s="7" t="str">
        <f>IFERROR(__xludf.DUMMYFUNCTION("""COMPUTED_VALUE"""),"4,8")</f>
        <v>4,8</v>
      </c>
      <c r="M317" s="7"/>
      <c r="N317" s="7"/>
      <c r="O317" s="7"/>
    </row>
    <row r="318">
      <c r="A318" s="29">
        <f>IFERROR(__xludf.DUMMYFUNCTION("""COMPUTED_VALUE"""),314.0)</f>
        <v>314</v>
      </c>
      <c r="B318" s="7" t="str">
        <f>IFERROR(__xludf.DUMMYFUNCTION("""COMPUTED_VALUE"""),"Vor mehr als 30 Tagen")</f>
        <v>Vor mehr als 30 Tagen</v>
      </c>
      <c r="C318" s="7" t="str">
        <f>IFERROR(__xludf.DUMMYFUNCTION("""COMPUTED_VALUE"""),"Reporting Analyst m/w/d Eschborn")</f>
        <v>Reporting Analyst m/w/d Eschborn</v>
      </c>
      <c r="D318" s="7" t="str">
        <f>IFERROR(__xludf.DUMMYFUNCTION("""COMPUTED_VALUE"""),"Frankfurt am Main")</f>
        <v>Frankfurt am Main</v>
      </c>
      <c r="E318" s="7" t="str">
        <f>IFERROR(__xludf.DUMMYFUNCTION("""COMPUTED_VALUE"""),"ConCardis GmbH")</f>
        <v>ConCardis GmbH</v>
      </c>
      <c r="F318" s="7" t="str">
        <f>IFERROR(__xludf.DUMMYFUNCTION("""COMPUTED_VALUE"""),"None")</f>
        <v>None</v>
      </c>
      <c r="G318" s="7" t="str">
        <f>IFERROR(__xludf.DUMMYFUNCTION("""COMPUTED_VALUE"""),"No salary data")</f>
        <v>No salary data</v>
      </c>
      <c r="H318" s="7" t="str">
        <f>IFERROR(__xludf.DUMMYFUNCTION("""COMPUTED_VALUE"""),"No salary data")</f>
        <v>No salary data</v>
      </c>
      <c r="I318" s="7" t="str">
        <f>IFERROR(__xludf.DUMMYFUNCTION("""COMPUTED_VALUE"""),"No salary data")</f>
        <v>No salary data</v>
      </c>
      <c r="J318" s="7" t="str">
        <f>IFERROR(__xludf.DUMMYFUNCTION("""COMPUTED_VALUE"""),"Git, Agile")</f>
        <v>Git, Agile</v>
      </c>
      <c r="K318" s="7" t="str">
        <f>IFERROR(__xludf.DUMMYFUNCTION("""COMPUTED_VALUE"""),"No job type data")</f>
        <v>No job type data</v>
      </c>
      <c r="L318" s="7" t="str">
        <f>IFERROR(__xludf.DUMMYFUNCTION("""COMPUTED_VALUE"""),"2,8")</f>
        <v>2,8</v>
      </c>
      <c r="M318" s="7"/>
      <c r="N318" s="7"/>
      <c r="O318" s="7"/>
    </row>
    <row r="319">
      <c r="A319" s="29">
        <f>IFERROR(__xludf.DUMMYFUNCTION("""COMPUTED_VALUE"""),315.0)</f>
        <v>315</v>
      </c>
      <c r="B319" s="7" t="str">
        <f>IFERROR(__xludf.DUMMYFUNCTION("""COMPUTED_VALUE"""),"vor 20 Tagen")</f>
        <v>vor 20 Tagen</v>
      </c>
      <c r="C319" s="7" t="str">
        <f>IFERROR(__xludf.DUMMYFUNCTION("""COMPUTED_VALUE"""),"Data Engineer (m/w/d)")</f>
        <v>Data Engineer (m/w/d)</v>
      </c>
      <c r="D319" s="7" t="str">
        <f>IFERROR(__xludf.DUMMYFUNCTION("""COMPUTED_VALUE"""),"Stuttgart")</f>
        <v>Stuttgart</v>
      </c>
      <c r="E319" s="7" t="str">
        <f>IFERROR(__xludf.DUMMYFUNCTION("""COMPUTED_VALUE"""),"Modis GmbH")</f>
        <v>Modis GmbH</v>
      </c>
      <c r="F319" s="7" t="str">
        <f>IFERROR(__xludf.DUMMYFUNCTION("""COMPUTED_VALUE"""),"None")</f>
        <v>None</v>
      </c>
      <c r="G319" s="7" t="str">
        <f>IFERROR(__xludf.DUMMYFUNCTION("""COMPUTED_VALUE"""),"No salary data")</f>
        <v>No salary data</v>
      </c>
      <c r="H319" s="7" t="str">
        <f>IFERROR(__xludf.DUMMYFUNCTION("""COMPUTED_VALUE"""),"No salary data")</f>
        <v>No salary data</v>
      </c>
      <c r="I319" s="7" t="str">
        <f>IFERROR(__xludf.DUMMYFUNCTION("""COMPUTED_VALUE"""),"No salary data")</f>
        <v>No salary data</v>
      </c>
      <c r="J319" s="7" t="str">
        <f>IFERROR(__xludf.DUMMYFUNCTION("""COMPUTED_VALUE"""),"Python, SQL")</f>
        <v>Python, SQL</v>
      </c>
      <c r="K319" s="7" t="str">
        <f>IFERROR(__xludf.DUMMYFUNCTION("""COMPUTED_VALUE"""),"No job type data")</f>
        <v>No job type data</v>
      </c>
      <c r="L319" s="7" t="str">
        <f>IFERROR(__xludf.DUMMYFUNCTION("""COMPUTED_VALUE"""),"3,8")</f>
        <v>3,8</v>
      </c>
      <c r="M319" s="7"/>
      <c r="N319" s="7"/>
      <c r="O319" s="7"/>
    </row>
    <row r="320">
      <c r="A320" s="29">
        <f>IFERROR(__xludf.DUMMYFUNCTION("""COMPUTED_VALUE"""),316.0)</f>
        <v>316</v>
      </c>
      <c r="B320" s="7" t="str">
        <f>IFERROR(__xludf.DUMMYFUNCTION("""COMPUTED_VALUE"""),"Heute")</f>
        <v>Heute</v>
      </c>
      <c r="C320" s="7" t="str">
        <f>IFERROR(__xludf.DUMMYFUNCTION("""COMPUTED_VALUE"""),"Data Scientist - Python")</f>
        <v>Data Scientist - Python</v>
      </c>
      <c r="D320" s="7" t="str">
        <f>IFERROR(__xludf.DUMMYFUNCTION("""COMPUTED_VALUE"""),"Düsseldorf")</f>
        <v>Düsseldorf</v>
      </c>
      <c r="E320" s="7" t="str">
        <f>IFERROR(__xludf.DUMMYFUNCTION("""COMPUTED_VALUE"""),"Michael Bailey Associates")</f>
        <v>Michael Bailey Associates</v>
      </c>
      <c r="F320" s="7" t="str">
        <f>IFERROR(__xludf.DUMMYFUNCTION("""COMPUTED_VALUE"""),"None")</f>
        <v>None</v>
      </c>
      <c r="G320" s="7" t="str">
        <f>IFERROR(__xludf.DUMMYFUNCTION("""COMPUTED_VALUE"""),"No salary data")</f>
        <v>No salary data</v>
      </c>
      <c r="H320" s="7" t="str">
        <f>IFERROR(__xludf.DUMMYFUNCTION("""COMPUTED_VALUE"""),"No salary data")</f>
        <v>No salary data</v>
      </c>
      <c r="I320" s="7" t="str">
        <f>IFERROR(__xludf.DUMMYFUNCTION("""COMPUTED_VALUE"""),"No salary data")</f>
        <v>No salary data</v>
      </c>
      <c r="J320" s="7" t="str">
        <f>IFERROR(__xludf.DUMMYFUNCTION("""COMPUTED_VALUE"""),"Python")</f>
        <v>Python</v>
      </c>
      <c r="K320" s="7" t="str">
        <f>IFERROR(__xludf.DUMMYFUNCTION("""COMPUTED_VALUE"""),"No job type data")</f>
        <v>No job type data</v>
      </c>
      <c r="L320" s="7" t="str">
        <f>IFERROR(__xludf.DUMMYFUNCTION("""COMPUTED_VALUE"""),"None")</f>
        <v>None</v>
      </c>
      <c r="M320" s="7"/>
      <c r="N320" s="7"/>
      <c r="O320" s="7"/>
    </row>
    <row r="321">
      <c r="A321" s="29">
        <f>IFERROR(__xludf.DUMMYFUNCTION("""COMPUTED_VALUE"""),317.0)</f>
        <v>317</v>
      </c>
      <c r="B321" s="7" t="str">
        <f>IFERROR(__xludf.DUMMYFUNCTION("""COMPUTED_VALUE"""),"vor 5 Tagen")</f>
        <v>vor 5 Tagen</v>
      </c>
      <c r="C321" s="7" t="str">
        <f>IFERROR(__xludf.DUMMYFUNCTION("""COMPUTED_VALUE"""),"(Junior) Data Scientist (m/w/d) zur Erstellung von Lerninhal...")</f>
        <v>(Junior) Data Scientist (m/w/d) zur Erstellung von Lerninhal...</v>
      </c>
      <c r="D321" s="7" t="str">
        <f>IFERROR(__xludf.DUMMYFUNCTION("""COMPUTED_VALUE"""),"Berlin-Kreuzberg")</f>
        <v>Berlin-Kreuzberg</v>
      </c>
      <c r="E321" s="7" t="str">
        <f>IFERROR(__xludf.DUMMYFUNCTION("""COMPUTED_VALUE"""),"StackFuel GmbH")</f>
        <v>StackFuel GmbH</v>
      </c>
      <c r="F321" s="7" t="str">
        <f>IFERROR(__xludf.DUMMYFUNCTION("""COMPUTED_VALUE"""),"None")</f>
        <v>None</v>
      </c>
      <c r="G321" s="7" t="str">
        <f>IFERROR(__xludf.DUMMYFUNCTION("""COMPUTED_VALUE"""),"No salary data")</f>
        <v>No salary data</v>
      </c>
      <c r="H321" s="7" t="str">
        <f>IFERROR(__xludf.DUMMYFUNCTION("""COMPUTED_VALUE"""),"No salary data")</f>
        <v>No salary data</v>
      </c>
      <c r="I321" s="7" t="str">
        <f>IFERROR(__xludf.DUMMYFUNCTION("""COMPUTED_VALUE"""),"No salary data")</f>
        <v>No salary data</v>
      </c>
      <c r="J321" s="7" t="str">
        <f>IFERROR(__xludf.DUMMYFUNCTION("""COMPUTED_VALUE"""),"Python, Git")</f>
        <v>Python, Git</v>
      </c>
      <c r="K321" s="7" t="str">
        <f>IFERROR(__xludf.DUMMYFUNCTION("""COMPUTED_VALUE"""),"No job type data")</f>
        <v>No job type data</v>
      </c>
      <c r="L321" s="7" t="str">
        <f>IFERROR(__xludf.DUMMYFUNCTION("""COMPUTED_VALUE"""),"None")</f>
        <v>None</v>
      </c>
      <c r="M321" s="7"/>
      <c r="N321" s="7"/>
      <c r="O321" s="7"/>
    </row>
    <row r="322">
      <c r="A322" s="29">
        <f>IFERROR(__xludf.DUMMYFUNCTION("""COMPUTED_VALUE"""),318.0)</f>
        <v>318</v>
      </c>
      <c r="B322" s="7" t="str">
        <f>IFERROR(__xludf.DUMMYFUNCTION("""COMPUTED_VALUE"""),"Vor mehr als 30 Tagen")</f>
        <v>Vor mehr als 30 Tagen</v>
      </c>
      <c r="C322" s="7" t="str">
        <f>IFERROR(__xludf.DUMMYFUNCTION("""COMPUTED_VALUE"""),"Data-Warehouse-Systemspezialist (m/w/d) Business Intelligenc...")</f>
        <v>Data-Warehouse-Systemspezialist (m/w/d) Business Intelligenc...</v>
      </c>
      <c r="D322" s="7" t="str">
        <f>IFERROR(__xludf.DUMMYFUNCTION("""COMPUTED_VALUE"""),"Essen")</f>
        <v>Essen</v>
      </c>
      <c r="E322" s="7" t="str">
        <f>IFERROR(__xludf.DUMMYFUNCTION("""COMPUTED_VALUE"""),"BITMARCK Holding")</f>
        <v>BITMARCK Holding</v>
      </c>
      <c r="F322" s="7" t="str">
        <f>IFERROR(__xludf.DUMMYFUNCTION("""COMPUTED_VALUE"""),"None")</f>
        <v>None</v>
      </c>
      <c r="G322" s="7" t="str">
        <f>IFERROR(__xludf.DUMMYFUNCTION("""COMPUTED_VALUE"""),"No salary data")</f>
        <v>No salary data</v>
      </c>
      <c r="H322" s="7" t="str">
        <f>IFERROR(__xludf.DUMMYFUNCTION("""COMPUTED_VALUE"""),"No salary data")</f>
        <v>No salary data</v>
      </c>
      <c r="I322" s="7" t="str">
        <f>IFERROR(__xludf.DUMMYFUNCTION("""COMPUTED_VALUE"""),"No salary data")</f>
        <v>No salary data</v>
      </c>
      <c r="J322" s="7" t="str">
        <f>IFERROR(__xludf.DUMMYFUNCTION("""COMPUTED_VALUE"""),"Python, SQL, Git, Linux, Agile")</f>
        <v>Python, SQL, Git, Linux, Agile</v>
      </c>
      <c r="K322" s="7" t="str">
        <f>IFERROR(__xludf.DUMMYFUNCTION("""COMPUTED_VALUE"""),"No job type data")</f>
        <v>No job type data</v>
      </c>
      <c r="L322" s="7" t="str">
        <f>IFERROR(__xludf.DUMMYFUNCTION("""COMPUTED_VALUE"""),"None")</f>
        <v>None</v>
      </c>
      <c r="M322" s="7"/>
      <c r="N322" s="7"/>
      <c r="O322" s="7"/>
    </row>
    <row r="323">
      <c r="A323" s="29">
        <f>IFERROR(__xludf.DUMMYFUNCTION("""COMPUTED_VALUE"""),319.0)</f>
        <v>319</v>
      </c>
      <c r="B323" s="7" t="str">
        <f>IFERROR(__xludf.DUMMYFUNCTION("""COMPUTED_VALUE"""),"vor 5 Tagen")</f>
        <v>vor 5 Tagen</v>
      </c>
      <c r="C323" s="7" t="str">
        <f>IFERROR(__xludf.DUMMYFUNCTION("""COMPUTED_VALUE"""),"Intern Project Management Football Data (m/w/d)")</f>
        <v>Intern Project Management Football Data (m/w/d)</v>
      </c>
      <c r="D323" s="7" t="str">
        <f>IFERROR(__xludf.DUMMYFUNCTION("""COMPUTED_VALUE"""),"Frankfurt am Main")</f>
        <v>Frankfurt am Main</v>
      </c>
      <c r="E323" s="7" t="str">
        <f>IFERROR(__xludf.DUMMYFUNCTION("""COMPUTED_VALUE"""),"DFL Deutsche Fußball Liga GmbH")</f>
        <v>DFL Deutsche Fußball Liga GmbH</v>
      </c>
      <c r="F323" s="7" t="str">
        <f>IFERROR(__xludf.DUMMYFUNCTION("""COMPUTED_VALUE"""),"None")</f>
        <v>None</v>
      </c>
      <c r="G323" s="7" t="str">
        <f>IFERROR(__xludf.DUMMYFUNCTION("""COMPUTED_VALUE"""),"No salary data")</f>
        <v>No salary data</v>
      </c>
      <c r="H323" s="7" t="str">
        <f>IFERROR(__xludf.DUMMYFUNCTION("""COMPUTED_VALUE"""),"No salary data")</f>
        <v>No salary data</v>
      </c>
      <c r="I323" s="7" t="str">
        <f>IFERROR(__xludf.DUMMYFUNCTION("""COMPUTED_VALUE"""),"No salary data")</f>
        <v>No salary data</v>
      </c>
      <c r="J323" s="7" t="str">
        <f>IFERROR(__xludf.DUMMYFUNCTION("""COMPUTED_VALUE"""),"Excel, Agile")</f>
        <v>Excel, Agile</v>
      </c>
      <c r="K323" s="7" t="str">
        <f>IFERROR(__xludf.DUMMYFUNCTION("""COMPUTED_VALUE"""),"Internship")</f>
        <v>Internship</v>
      </c>
      <c r="L323" s="7" t="str">
        <f>IFERROR(__xludf.DUMMYFUNCTION("""COMPUTED_VALUE"""),"None")</f>
        <v>None</v>
      </c>
      <c r="M323" s="7"/>
      <c r="N323" s="7"/>
      <c r="O323" s="7"/>
    </row>
    <row r="324">
      <c r="A324" s="29">
        <f>IFERROR(__xludf.DUMMYFUNCTION("""COMPUTED_VALUE"""),320.0)</f>
        <v>320</v>
      </c>
      <c r="B324" s="7" t="str">
        <f>IFERROR(__xludf.DUMMYFUNCTION("""COMPUTED_VALUE"""),"vor 17 Tagen")</f>
        <v>vor 17 Tagen</v>
      </c>
      <c r="C324" s="7" t="str">
        <f>IFERROR(__xludf.DUMMYFUNCTION("""COMPUTED_VALUE"""),"Data Analyst Digital Marketing (m/w/d)")</f>
        <v>Data Analyst Digital Marketing (m/w/d)</v>
      </c>
      <c r="D324" s="7" t="str">
        <f>IFERROR(__xludf.DUMMYFUNCTION("""COMPUTED_VALUE"""),"Hamburg")</f>
        <v>Hamburg</v>
      </c>
      <c r="E324" s="7" t="str">
        <f>IFERROR(__xludf.DUMMYFUNCTION("""COMPUTED_VALUE"""),"segmenta communications GmbH")</f>
        <v>segmenta communications GmbH</v>
      </c>
      <c r="F324" s="7" t="str">
        <f>IFERROR(__xludf.DUMMYFUNCTION("""COMPUTED_VALUE"""),"None")</f>
        <v>None</v>
      </c>
      <c r="G324" s="7" t="str">
        <f>IFERROR(__xludf.DUMMYFUNCTION("""COMPUTED_VALUE"""),"No salary data")</f>
        <v>No salary data</v>
      </c>
      <c r="H324" s="7" t="str">
        <f>IFERROR(__xludf.DUMMYFUNCTION("""COMPUTED_VALUE"""),"No salary data")</f>
        <v>No salary data</v>
      </c>
      <c r="I324" s="7" t="str">
        <f>IFERROR(__xludf.DUMMYFUNCTION("""COMPUTED_VALUE"""),"No salary data")</f>
        <v>No salary data</v>
      </c>
      <c r="J324" s="7" t="str">
        <f>IFERROR(__xludf.DUMMYFUNCTION("""COMPUTED_VALUE"""),"Git")</f>
        <v>Git</v>
      </c>
      <c r="K324" s="7" t="str">
        <f>IFERROR(__xludf.DUMMYFUNCTION("""COMPUTED_VALUE"""),"No job type data")</f>
        <v>No job type data</v>
      </c>
      <c r="L324" s="7" t="str">
        <f>IFERROR(__xludf.DUMMYFUNCTION("""COMPUTED_VALUE"""),"None")</f>
        <v>None</v>
      </c>
      <c r="M324" s="7"/>
      <c r="N324" s="7"/>
      <c r="O324" s="7"/>
    </row>
    <row r="325">
      <c r="A325" s="29">
        <f>IFERROR(__xludf.DUMMYFUNCTION("""COMPUTED_VALUE"""),321.0)</f>
        <v>321</v>
      </c>
      <c r="B325" s="7" t="str">
        <f>IFERROR(__xludf.DUMMYFUNCTION("""COMPUTED_VALUE"""),"Vor mehr als 30 Tagen")</f>
        <v>Vor mehr als 30 Tagen</v>
      </c>
      <c r="C325" s="7" t="str">
        <f>IFERROR(__xludf.DUMMYFUNCTION("""COMPUTED_VALUE"""),"EU Employee Relations Data Analyst")</f>
        <v>EU Employee Relations Data Analyst</v>
      </c>
      <c r="D325" s="7" t="str">
        <f>IFERROR(__xludf.DUMMYFUNCTION("""COMPUTED_VALUE"""),"München")</f>
        <v>München</v>
      </c>
      <c r="E325" s="7" t="str">
        <f>IFERROR(__xludf.DUMMYFUNCTION("""COMPUTED_VALUE"""),"Amazon Deutschland Trans GmbH")</f>
        <v>Amazon Deutschland Trans GmbH</v>
      </c>
      <c r="F325" s="7" t="str">
        <f>IFERROR(__xludf.DUMMYFUNCTION("""COMPUTED_VALUE"""),"None")</f>
        <v>None</v>
      </c>
      <c r="G325" s="7" t="str">
        <f>IFERROR(__xludf.DUMMYFUNCTION("""COMPUTED_VALUE"""),"No salary data")</f>
        <v>No salary data</v>
      </c>
      <c r="H325" s="7" t="str">
        <f>IFERROR(__xludf.DUMMYFUNCTION("""COMPUTED_VALUE"""),"No salary data")</f>
        <v>No salary data</v>
      </c>
      <c r="I325" s="7" t="str">
        <f>IFERROR(__xludf.DUMMYFUNCTION("""COMPUTED_VALUE"""),"No salary data")</f>
        <v>No salary data</v>
      </c>
      <c r="J325" s="7" t="str">
        <f>IFERROR(__xludf.DUMMYFUNCTION("""COMPUTED_VALUE"""),"Tableau, Excel, Statistic")</f>
        <v>Tableau, Excel, Statistic</v>
      </c>
      <c r="K325" s="7" t="str">
        <f>IFERROR(__xludf.DUMMYFUNCTION("""COMPUTED_VALUE"""),"Full-Time")</f>
        <v>Full-Time</v>
      </c>
      <c r="L325" s="7" t="str">
        <f>IFERROR(__xludf.DUMMYFUNCTION("""COMPUTED_VALUE"""),"3,6")</f>
        <v>3,6</v>
      </c>
      <c r="M325" s="7"/>
      <c r="N325" s="7"/>
      <c r="O325" s="7"/>
    </row>
    <row r="326">
      <c r="A326" s="29">
        <f>IFERROR(__xludf.DUMMYFUNCTION("""COMPUTED_VALUE"""),322.0)</f>
        <v>322</v>
      </c>
      <c r="B326" s="7" t="str">
        <f>IFERROR(__xludf.DUMMYFUNCTION("""COMPUTED_VALUE"""),"Vor mehr als 30 Tagen")</f>
        <v>Vor mehr als 30 Tagen</v>
      </c>
      <c r="C326" s="7" t="str">
        <f>IFERROR(__xludf.DUMMYFUNCTION("""COMPUTED_VALUE"""),"Data Analyst (m/w/d) Nachhaltigkeit")</f>
        <v>Data Analyst (m/w/d) Nachhaltigkeit</v>
      </c>
      <c r="D326" s="7" t="str">
        <f>IFERROR(__xludf.DUMMYFUNCTION("""COMPUTED_VALUE"""),"Vestenbergsgreuth")</f>
        <v>Vestenbergsgreuth</v>
      </c>
      <c r="E326" s="7" t="str">
        <f>IFERROR(__xludf.DUMMYFUNCTION("""COMPUTED_VALUE"""),"Martin Bauer Group")</f>
        <v>Martin Bauer Group</v>
      </c>
      <c r="F326" s="7" t="str">
        <f>IFERROR(__xludf.DUMMYFUNCTION("""COMPUTED_VALUE"""),"None")</f>
        <v>None</v>
      </c>
      <c r="G326" s="7" t="str">
        <f>IFERROR(__xludf.DUMMYFUNCTION("""COMPUTED_VALUE"""),"No salary data")</f>
        <v>No salary data</v>
      </c>
      <c r="H326" s="7" t="str">
        <f>IFERROR(__xludf.DUMMYFUNCTION("""COMPUTED_VALUE"""),"No salary data")</f>
        <v>No salary data</v>
      </c>
      <c r="I326" s="7" t="str">
        <f>IFERROR(__xludf.DUMMYFUNCTION("""COMPUTED_VALUE"""),"No salary data")</f>
        <v>No salary data</v>
      </c>
      <c r="J326" s="7"/>
      <c r="K326" s="7" t="str">
        <f>IFERROR(__xludf.DUMMYFUNCTION("""COMPUTED_VALUE"""),"No job type data")</f>
        <v>No job type data</v>
      </c>
      <c r="L326" s="7" t="str">
        <f>IFERROR(__xludf.DUMMYFUNCTION("""COMPUTED_VALUE"""),"None")</f>
        <v>None</v>
      </c>
      <c r="M326" s="7"/>
      <c r="N326" s="7"/>
      <c r="O326" s="7"/>
    </row>
    <row r="327">
      <c r="A327" s="29">
        <f>IFERROR(__xludf.DUMMYFUNCTION("""COMPUTED_VALUE"""),323.0)</f>
        <v>323</v>
      </c>
      <c r="B327" s="7" t="str">
        <f>IFERROR(__xludf.DUMMYFUNCTION("""COMPUTED_VALUE"""),"Gerade geschaltet")</f>
        <v>Gerade geschaltet</v>
      </c>
      <c r="C327" s="7" t="str">
        <f>IFERROR(__xludf.DUMMYFUNCTION("""COMPUTED_VALUE"""),"Senior Consultant Data Science (m/w/d)")</f>
        <v>Senior Consultant Data Science (m/w/d)</v>
      </c>
      <c r="D327" s="7" t="str">
        <f>IFERROR(__xludf.DUMMYFUNCTION("""COMPUTED_VALUE"""),"Heidelberg")</f>
        <v>Heidelberg</v>
      </c>
      <c r="E327" s="7" t="str">
        <f>IFERROR(__xludf.DUMMYFUNCTION("""COMPUTED_VALUE"""),"accantec group")</f>
        <v>accantec group</v>
      </c>
      <c r="F327" s="7" t="str">
        <f>IFERROR(__xludf.DUMMYFUNCTION("""COMPUTED_VALUE"""),"None")</f>
        <v>None</v>
      </c>
      <c r="G327" s="7" t="str">
        <f>IFERROR(__xludf.DUMMYFUNCTION("""COMPUTED_VALUE"""),"No salary data")</f>
        <v>No salary data</v>
      </c>
      <c r="H327" s="7" t="str">
        <f>IFERROR(__xludf.DUMMYFUNCTION("""COMPUTED_VALUE"""),"No salary data")</f>
        <v>No salary data</v>
      </c>
      <c r="I327" s="7" t="str">
        <f>IFERROR(__xludf.DUMMYFUNCTION("""COMPUTED_VALUE"""),"No salary data")</f>
        <v>No salary data</v>
      </c>
      <c r="J327" s="7" t="str">
        <f>IFERROR(__xludf.DUMMYFUNCTION("""COMPUTED_VALUE"""),"Python, SQL, Tableau, Machine Learning, Agile")</f>
        <v>Python, SQL, Tableau, Machine Learning, Agile</v>
      </c>
      <c r="K327" s="7" t="str">
        <f>IFERROR(__xludf.DUMMYFUNCTION("""COMPUTED_VALUE"""),"No job type data")</f>
        <v>No job type data</v>
      </c>
      <c r="L327" s="7" t="str">
        <f>IFERROR(__xludf.DUMMYFUNCTION("""COMPUTED_VALUE"""),"None")</f>
        <v>None</v>
      </c>
      <c r="M327" s="7"/>
      <c r="N327" s="7"/>
      <c r="O327" s="7"/>
    </row>
    <row r="328">
      <c r="A328" s="29">
        <f>IFERROR(__xludf.DUMMYFUNCTION("""COMPUTED_VALUE"""),324.0)</f>
        <v>324</v>
      </c>
      <c r="B328" s="7" t="str">
        <f>IFERROR(__xludf.DUMMYFUNCTION("""COMPUTED_VALUE"""),"Vor mehr als 30 Tagen")</f>
        <v>Vor mehr als 30 Tagen</v>
      </c>
      <c r="C328" s="7" t="str">
        <f>IFERROR(__xludf.DUMMYFUNCTION("""COMPUTED_VALUE"""),"Data Scientist (m/f/div)")</f>
        <v>Data Scientist (m/f/div)</v>
      </c>
      <c r="D328" s="7" t="str">
        <f>IFERROR(__xludf.DUMMYFUNCTION("""COMPUTED_VALUE"""),"Berlin")</f>
        <v>Berlin</v>
      </c>
      <c r="E328" s="7" t="str">
        <f>IFERROR(__xludf.DUMMYFUNCTION("""COMPUTED_VALUE"""),"ELEMENT Insurance AG")</f>
        <v>ELEMENT Insurance AG</v>
      </c>
      <c r="F328" s="7" t="str">
        <f>IFERROR(__xludf.DUMMYFUNCTION("""COMPUTED_VALUE"""),"None")</f>
        <v>None</v>
      </c>
      <c r="G328" s="7" t="str">
        <f>IFERROR(__xludf.DUMMYFUNCTION("""COMPUTED_VALUE"""),"No salary data")</f>
        <v>No salary data</v>
      </c>
      <c r="H328" s="7" t="str">
        <f>IFERROR(__xludf.DUMMYFUNCTION("""COMPUTED_VALUE"""),"No salary data")</f>
        <v>No salary data</v>
      </c>
      <c r="I328" s="7" t="str">
        <f>IFERROR(__xludf.DUMMYFUNCTION("""COMPUTED_VALUE"""),"No salary data")</f>
        <v>No salary data</v>
      </c>
      <c r="J328" s="7" t="str">
        <f>IFERROR(__xludf.DUMMYFUNCTION("""COMPUTED_VALUE"""),"Python, SQL, Tableau, Machine Learning, Statistic, Git, Agile")</f>
        <v>Python, SQL, Tableau, Machine Learning, Statistic, Git, Agile</v>
      </c>
      <c r="K328" s="7" t="str">
        <f>IFERROR(__xludf.DUMMYFUNCTION("""COMPUTED_VALUE"""),"No job type data")</f>
        <v>No job type data</v>
      </c>
      <c r="L328" s="7" t="str">
        <f>IFERROR(__xludf.DUMMYFUNCTION("""COMPUTED_VALUE"""),"None")</f>
        <v>None</v>
      </c>
      <c r="M328" s="7"/>
      <c r="N328" s="7"/>
      <c r="O328" s="7"/>
    </row>
    <row r="329">
      <c r="A329" s="29">
        <f>IFERROR(__xludf.DUMMYFUNCTION("""COMPUTED_VALUE"""),325.0)</f>
        <v>325</v>
      </c>
      <c r="B329" s="7" t="str">
        <f>IFERROR(__xludf.DUMMYFUNCTION("""COMPUTED_VALUE"""),"vor 9 Tagen")</f>
        <v>vor 9 Tagen</v>
      </c>
      <c r="C329" s="7" t="str">
        <f>IFERROR(__xludf.DUMMYFUNCTION("""COMPUTED_VALUE"""),"Business Analyst (m/f/d)")</f>
        <v>Business Analyst (m/f/d)</v>
      </c>
      <c r="D329" s="7" t="str">
        <f>IFERROR(__xludf.DUMMYFUNCTION("""COMPUTED_VALUE"""),"Rottendorf")</f>
        <v>Rottendorf</v>
      </c>
      <c r="E329" s="7" t="str">
        <f>IFERROR(__xludf.DUMMYFUNCTION("""COMPUTED_VALUE"""),"s.Oliver Group")</f>
        <v>s.Oliver Group</v>
      </c>
      <c r="F329" s="7" t="str">
        <f>IFERROR(__xludf.DUMMYFUNCTION("""COMPUTED_VALUE"""),"None")</f>
        <v>None</v>
      </c>
      <c r="G329" s="7" t="str">
        <f>IFERROR(__xludf.DUMMYFUNCTION("""COMPUTED_VALUE"""),"No salary data")</f>
        <v>No salary data</v>
      </c>
      <c r="H329" s="7" t="str">
        <f>IFERROR(__xludf.DUMMYFUNCTION("""COMPUTED_VALUE"""),"No salary data")</f>
        <v>No salary data</v>
      </c>
      <c r="I329" s="7" t="str">
        <f>IFERROR(__xludf.DUMMYFUNCTION("""COMPUTED_VALUE"""),"No salary data")</f>
        <v>No salary data</v>
      </c>
      <c r="J329" s="7" t="str">
        <f>IFERROR(__xludf.DUMMYFUNCTION("""COMPUTED_VALUE"""),"Statistic, Git")</f>
        <v>Statistic, Git</v>
      </c>
      <c r="K329" s="7" t="str">
        <f>IFERROR(__xludf.DUMMYFUNCTION("""COMPUTED_VALUE"""),"No job type data")</f>
        <v>No job type data</v>
      </c>
      <c r="L329" s="7" t="str">
        <f>IFERROR(__xludf.DUMMYFUNCTION("""COMPUTED_VALUE"""),"None")</f>
        <v>None</v>
      </c>
      <c r="M329" s="7"/>
      <c r="N329" s="7"/>
      <c r="O329" s="7"/>
    </row>
    <row r="330">
      <c r="A330" s="29">
        <f>IFERROR(__xludf.DUMMYFUNCTION("""COMPUTED_VALUE"""),326.0)</f>
        <v>326</v>
      </c>
      <c r="B330" s="7" t="str">
        <f>IFERROR(__xludf.DUMMYFUNCTION("""COMPUTED_VALUE"""),"vor 12 Tagen")</f>
        <v>vor 12 Tagen</v>
      </c>
      <c r="C330" s="7" t="str">
        <f>IFERROR(__xludf.DUMMYFUNCTION("""COMPUTED_VALUE"""),"Working student - Junior Consultant- Digital Transformation")</f>
        <v>Working student - Junior Consultant- Digital Transformation</v>
      </c>
      <c r="D330" s="7" t="str">
        <f>IFERROR(__xludf.DUMMYFUNCTION("""COMPUTED_VALUE"""),"München")</f>
        <v>München</v>
      </c>
      <c r="E330" s="7" t="str">
        <f>IFERROR(__xludf.DUMMYFUNCTION("""COMPUTED_VALUE"""),"GBI Ingenieurgesellschaft für Management und Techn...")</f>
        <v>GBI Ingenieurgesellschaft für Management und Techn...</v>
      </c>
      <c r="F330" s="7" t="str">
        <f>IFERROR(__xludf.DUMMYFUNCTION("""COMPUTED_VALUE"""),"None")</f>
        <v>None</v>
      </c>
      <c r="G330" s="7" t="str">
        <f>IFERROR(__xludf.DUMMYFUNCTION("""COMPUTED_VALUE"""),"No salary data")</f>
        <v>No salary data</v>
      </c>
      <c r="H330" s="7" t="str">
        <f>IFERROR(__xludf.DUMMYFUNCTION("""COMPUTED_VALUE"""),"No salary data")</f>
        <v>No salary data</v>
      </c>
      <c r="I330" s="7" t="str">
        <f>IFERROR(__xludf.DUMMYFUNCTION("""COMPUTED_VALUE"""),"No salary data")</f>
        <v>No salary data</v>
      </c>
      <c r="J330" s="7" t="str">
        <f>IFERROR(__xludf.DUMMYFUNCTION("""COMPUTED_VALUE"""),"Excel, Git")</f>
        <v>Excel, Git</v>
      </c>
      <c r="K330" s="7" t="str">
        <f>IFERROR(__xludf.DUMMYFUNCTION("""COMPUTED_VALUE"""),"No job type data")</f>
        <v>No job type data</v>
      </c>
      <c r="L330" s="7" t="str">
        <f>IFERROR(__xludf.DUMMYFUNCTION("""COMPUTED_VALUE"""),"None")</f>
        <v>None</v>
      </c>
      <c r="M330" s="7"/>
      <c r="N330" s="7"/>
      <c r="O330" s="7"/>
    </row>
    <row r="331">
      <c r="A331" s="29">
        <f>IFERROR(__xludf.DUMMYFUNCTION("""COMPUTED_VALUE"""),327.0)</f>
        <v>327</v>
      </c>
      <c r="B331" s="7" t="str">
        <f>IFERROR(__xludf.DUMMYFUNCTION("""COMPUTED_VALUE"""),"Vor mehr als 30 Tagen")</f>
        <v>Vor mehr als 30 Tagen</v>
      </c>
      <c r="C331" s="7" t="str">
        <f>IFERROR(__xludf.DUMMYFUNCTION("""COMPUTED_VALUE"""),"Data Scientist (m/w/d)")</f>
        <v>Data Scientist (m/w/d)</v>
      </c>
      <c r="D331" s="7" t="str">
        <f>IFERROR(__xludf.DUMMYFUNCTION("""COMPUTED_VALUE"""),"Karlsruhe")</f>
        <v>Karlsruhe</v>
      </c>
      <c r="E331" s="7" t="str">
        <f>IFERROR(__xludf.DUMMYFUNCTION("""COMPUTED_VALUE"""),"1&amp;1 Telecommunication SE")</f>
        <v>1&amp;1 Telecommunication SE</v>
      </c>
      <c r="F331" s="7" t="str">
        <f>IFERROR(__xludf.DUMMYFUNCTION("""COMPUTED_VALUE"""),"None")</f>
        <v>None</v>
      </c>
      <c r="G331" s="7" t="str">
        <f>IFERROR(__xludf.DUMMYFUNCTION("""COMPUTED_VALUE"""),"No salary data")</f>
        <v>No salary data</v>
      </c>
      <c r="H331" s="7" t="str">
        <f>IFERROR(__xludf.DUMMYFUNCTION("""COMPUTED_VALUE"""),"No salary data")</f>
        <v>No salary data</v>
      </c>
      <c r="I331" s="7" t="str">
        <f>IFERROR(__xludf.DUMMYFUNCTION("""COMPUTED_VALUE"""),"No salary data")</f>
        <v>No salary data</v>
      </c>
      <c r="J331" s="7" t="str">
        <f>IFERROR(__xludf.DUMMYFUNCTION("""COMPUTED_VALUE"""),"Python, SQL, Machine Learning")</f>
        <v>Python, SQL, Machine Learning</v>
      </c>
      <c r="K331" s="7" t="str">
        <f>IFERROR(__xludf.DUMMYFUNCTION("""COMPUTED_VALUE"""),"No job type data")</f>
        <v>No job type data</v>
      </c>
      <c r="L331" s="7" t="str">
        <f>IFERROR(__xludf.DUMMYFUNCTION("""COMPUTED_VALUE"""),"None")</f>
        <v>None</v>
      </c>
      <c r="M331" s="7"/>
      <c r="N331" s="7"/>
      <c r="O331" s="7"/>
    </row>
    <row r="332">
      <c r="A332" s="29">
        <f>IFERROR(__xludf.DUMMYFUNCTION("""COMPUTED_VALUE"""),328.0)</f>
        <v>328</v>
      </c>
      <c r="B332" s="7" t="str">
        <f>IFERROR(__xludf.DUMMYFUNCTION("""COMPUTED_VALUE"""),"Vor mehr als 30 Tagen")</f>
        <v>Vor mehr als 30 Tagen</v>
      </c>
      <c r="C332" s="7" t="str">
        <f>IFERROR(__xludf.DUMMYFUNCTION("""COMPUTED_VALUE"""),"Data Analyst (m/w/d)")</f>
        <v>Data Analyst (m/w/d)</v>
      </c>
      <c r="D332" s="7" t="str">
        <f>IFERROR(__xludf.DUMMYFUNCTION("""COMPUTED_VALUE"""),"Regen")</f>
        <v>Regen</v>
      </c>
      <c r="E332" s="7" t="str">
        <f>IFERROR(__xludf.DUMMYFUNCTION("""COMPUTED_VALUE"""),"Schock GmbH")</f>
        <v>Schock GmbH</v>
      </c>
      <c r="F332" s="7" t="str">
        <f>IFERROR(__xludf.DUMMYFUNCTION("""COMPUTED_VALUE"""),"None")</f>
        <v>None</v>
      </c>
      <c r="G332" s="7" t="str">
        <f>IFERROR(__xludf.DUMMYFUNCTION("""COMPUTED_VALUE"""),"No salary data")</f>
        <v>No salary data</v>
      </c>
      <c r="H332" s="7" t="str">
        <f>IFERROR(__xludf.DUMMYFUNCTION("""COMPUTED_VALUE"""),"No salary data")</f>
        <v>No salary data</v>
      </c>
      <c r="I332" s="7" t="str">
        <f>IFERROR(__xludf.DUMMYFUNCTION("""COMPUTED_VALUE"""),"No salary data")</f>
        <v>No salary data</v>
      </c>
      <c r="J332" s="7" t="str">
        <f>IFERROR(__xludf.DUMMYFUNCTION("""COMPUTED_VALUE"""),"SQL, Machine Learning")</f>
        <v>SQL, Machine Learning</v>
      </c>
      <c r="K332" s="7" t="str">
        <f>IFERROR(__xludf.DUMMYFUNCTION("""COMPUTED_VALUE"""),"No job type data")</f>
        <v>No job type data</v>
      </c>
      <c r="L332" s="7" t="str">
        <f>IFERROR(__xludf.DUMMYFUNCTION("""COMPUTED_VALUE"""),"None")</f>
        <v>None</v>
      </c>
      <c r="M332" s="7"/>
      <c r="N332" s="7"/>
      <c r="O332" s="7"/>
    </row>
    <row r="333">
      <c r="A333" s="29">
        <f>IFERROR(__xludf.DUMMYFUNCTION("""COMPUTED_VALUE"""),329.0)</f>
        <v>329</v>
      </c>
      <c r="B333" s="7" t="str">
        <f>IFERROR(__xludf.DUMMYFUNCTION("""COMPUTED_VALUE"""),"Vor mehr als 30 Tagen")</f>
        <v>Vor mehr als 30 Tagen</v>
      </c>
      <c r="C333" s="7" t="str">
        <f>IFERROR(__xludf.DUMMYFUNCTION("""COMPUTED_VALUE"""),"Data Scientist (m/w/d) – Advanced Analytics")</f>
        <v>Data Scientist (m/w/d) – Advanced Analytics</v>
      </c>
      <c r="D333" s="7" t="str">
        <f>IFERROR(__xludf.DUMMYFUNCTION("""COMPUTED_VALUE"""),"Düsseldorf")</f>
        <v>Düsseldorf</v>
      </c>
      <c r="E333" s="7" t="str">
        <f>IFERROR(__xludf.DUMMYFUNCTION("""COMPUTED_VALUE"""),"McKinsey &amp; Company")</f>
        <v>McKinsey &amp; Company</v>
      </c>
      <c r="F333" s="7" t="str">
        <f>IFERROR(__xludf.DUMMYFUNCTION("""COMPUTED_VALUE"""),"None")</f>
        <v>None</v>
      </c>
      <c r="G333" s="7" t="str">
        <f>IFERROR(__xludf.DUMMYFUNCTION("""COMPUTED_VALUE"""),"No salary data")</f>
        <v>No salary data</v>
      </c>
      <c r="H333" s="7" t="str">
        <f>IFERROR(__xludf.DUMMYFUNCTION("""COMPUTED_VALUE"""),"No salary data")</f>
        <v>No salary data</v>
      </c>
      <c r="I333" s="7" t="str">
        <f>IFERROR(__xludf.DUMMYFUNCTION("""COMPUTED_VALUE"""),"No salary data")</f>
        <v>No salary data</v>
      </c>
      <c r="J333" s="7" t="str">
        <f>IFERROR(__xludf.DUMMYFUNCTION("""COMPUTED_VALUE"""),"Python, SQL, Machine Learning, Deep Learning")</f>
        <v>Python, SQL, Machine Learning, Deep Learning</v>
      </c>
      <c r="K333" s="7" t="str">
        <f>IFERROR(__xludf.DUMMYFUNCTION("""COMPUTED_VALUE"""),"No job type data")</f>
        <v>No job type data</v>
      </c>
      <c r="L333" s="7" t="str">
        <f>IFERROR(__xludf.DUMMYFUNCTION("""COMPUTED_VALUE"""),"4,3")</f>
        <v>4,3</v>
      </c>
      <c r="M333" s="7"/>
      <c r="N333" s="7"/>
      <c r="O333" s="7"/>
    </row>
    <row r="334">
      <c r="A334" s="29">
        <f>IFERROR(__xludf.DUMMYFUNCTION("""COMPUTED_VALUE"""),330.0)</f>
        <v>330</v>
      </c>
      <c r="B334" s="7" t="str">
        <f>IFERROR(__xludf.DUMMYFUNCTION("""COMPUTED_VALUE"""),"Vor mehr als 30 Tagen")</f>
        <v>Vor mehr als 30 Tagen</v>
      </c>
      <c r="C334" s="7" t="str">
        <f>IFERROR(__xludf.DUMMYFUNCTION("""COMPUTED_VALUE"""),"Business Intelligence (BI) - Data Analyst Developer (gn)")</f>
        <v>Business Intelligence (BI) - Data Analyst Developer (gn)</v>
      </c>
      <c r="D334" s="7" t="str">
        <f>IFERROR(__xludf.DUMMYFUNCTION("""COMPUTED_VALUE"""),"München")</f>
        <v>München</v>
      </c>
      <c r="E334" s="7" t="str">
        <f>IFERROR(__xludf.DUMMYFUNCTION("""COMPUTED_VALUE"""),"SoftwareONE")</f>
        <v>SoftwareONE</v>
      </c>
      <c r="F334" s="7" t="str">
        <f>IFERROR(__xludf.DUMMYFUNCTION("""COMPUTED_VALUE"""),"None")</f>
        <v>None</v>
      </c>
      <c r="G334" s="7" t="str">
        <f>IFERROR(__xludf.DUMMYFUNCTION("""COMPUTED_VALUE"""),"No salary data")</f>
        <v>No salary data</v>
      </c>
      <c r="H334" s="7" t="str">
        <f>IFERROR(__xludf.DUMMYFUNCTION("""COMPUTED_VALUE"""),"No salary data")</f>
        <v>No salary data</v>
      </c>
      <c r="I334" s="7" t="str">
        <f>IFERROR(__xludf.DUMMYFUNCTION("""COMPUTED_VALUE"""),"No salary data")</f>
        <v>No salary data</v>
      </c>
      <c r="J334" s="7" t="str">
        <f>IFERROR(__xludf.DUMMYFUNCTION("""COMPUTED_VALUE"""),"SQL, Excel, Git, Agile")</f>
        <v>SQL, Excel, Git, Agile</v>
      </c>
      <c r="K334" s="7" t="str">
        <f>IFERROR(__xludf.DUMMYFUNCTION("""COMPUTED_VALUE"""),"Full-Time")</f>
        <v>Full-Time</v>
      </c>
      <c r="L334" s="7" t="str">
        <f>IFERROR(__xludf.DUMMYFUNCTION("""COMPUTED_VALUE"""),"None")</f>
        <v>None</v>
      </c>
      <c r="M334" s="7"/>
      <c r="N334" s="7"/>
      <c r="O334" s="7"/>
    </row>
    <row r="335">
      <c r="A335" s="29">
        <f>IFERROR(__xludf.DUMMYFUNCTION("""COMPUTED_VALUE"""),331.0)</f>
        <v>331</v>
      </c>
      <c r="B335" s="7" t="str">
        <f>IFERROR(__xludf.DUMMYFUNCTION("""COMPUTED_VALUE"""),"Heute")</f>
        <v>Heute</v>
      </c>
      <c r="C335" s="7" t="str">
        <f>IFERROR(__xludf.DUMMYFUNCTION("""COMPUTED_VALUE"""),"Data Scientist - System und Logistikdaten (gn)")</f>
        <v>Data Scientist - System und Logistikdaten (gn)</v>
      </c>
      <c r="D335" s="7" t="str">
        <f>IFERROR(__xludf.DUMMYFUNCTION("""COMPUTED_VALUE"""),"Ottobrunn")</f>
        <v>Ottobrunn</v>
      </c>
      <c r="E335" s="7" t="str">
        <f>IFERROR(__xludf.DUMMYFUNCTION("""COMPUTED_VALUE"""),"IABG")</f>
        <v>IABG</v>
      </c>
      <c r="F335" s="7" t="str">
        <f>IFERROR(__xludf.DUMMYFUNCTION("""COMPUTED_VALUE"""),"None")</f>
        <v>None</v>
      </c>
      <c r="G335" s="7" t="str">
        <f>IFERROR(__xludf.DUMMYFUNCTION("""COMPUTED_VALUE"""),"No salary data")</f>
        <v>No salary data</v>
      </c>
      <c r="H335" s="7" t="str">
        <f>IFERROR(__xludf.DUMMYFUNCTION("""COMPUTED_VALUE"""),"No salary data")</f>
        <v>No salary data</v>
      </c>
      <c r="I335" s="7" t="str">
        <f>IFERROR(__xludf.DUMMYFUNCTION("""COMPUTED_VALUE"""),"No salary data")</f>
        <v>No salary data</v>
      </c>
      <c r="J335" s="7" t="str">
        <f>IFERROR(__xludf.DUMMYFUNCTION("""COMPUTED_VALUE"""),"Python, SQL, Tableau, Excel")</f>
        <v>Python, SQL, Tableau, Excel</v>
      </c>
      <c r="K335" s="7" t="str">
        <f>IFERROR(__xludf.DUMMYFUNCTION("""COMPUTED_VALUE"""),"No job type data")</f>
        <v>No job type data</v>
      </c>
      <c r="L335" s="7" t="str">
        <f>IFERROR(__xludf.DUMMYFUNCTION("""COMPUTED_VALUE"""),"None")</f>
        <v>None</v>
      </c>
      <c r="M335" s="7"/>
      <c r="N335" s="7"/>
      <c r="O335" s="7"/>
    </row>
    <row r="336">
      <c r="A336" s="29">
        <f>IFERROR(__xludf.DUMMYFUNCTION("""COMPUTED_VALUE"""),332.0)</f>
        <v>332</v>
      </c>
      <c r="B336" s="7" t="str">
        <f>IFERROR(__xludf.DUMMYFUNCTION("""COMPUTED_VALUE"""),"Vor mehr als 30 Tagen")</f>
        <v>Vor mehr als 30 Tagen</v>
      </c>
      <c r="C336" s="7" t="str">
        <f>IFERROR(__xludf.DUMMYFUNCTION("""COMPUTED_VALUE"""),"Data Engineer (m/f/d)")</f>
        <v>Data Engineer (m/f/d)</v>
      </c>
      <c r="D336" s="7" t="str">
        <f>IFERROR(__xludf.DUMMYFUNCTION("""COMPUTED_VALUE"""),"Berlin")</f>
        <v>Berlin</v>
      </c>
      <c r="E336" s="7" t="str">
        <f>IFERROR(__xludf.DUMMYFUNCTION("""COMPUTED_VALUE"""),"Bayer")</f>
        <v>Bayer</v>
      </c>
      <c r="F336" s="7" t="str">
        <f>IFERROR(__xludf.DUMMYFUNCTION("""COMPUTED_VALUE"""),"None")</f>
        <v>None</v>
      </c>
      <c r="G336" s="7" t="str">
        <f>IFERROR(__xludf.DUMMYFUNCTION("""COMPUTED_VALUE"""),"No salary data")</f>
        <v>No salary data</v>
      </c>
      <c r="H336" s="7" t="str">
        <f>IFERROR(__xludf.DUMMYFUNCTION("""COMPUTED_VALUE"""),"No salary data")</f>
        <v>No salary data</v>
      </c>
      <c r="I336" s="7" t="str">
        <f>IFERROR(__xludf.DUMMYFUNCTION("""COMPUTED_VALUE"""),"No salary data")</f>
        <v>No salary data</v>
      </c>
      <c r="J336" s="7" t="str">
        <f>IFERROR(__xludf.DUMMYFUNCTION("""COMPUTED_VALUE"""),"Python, SQL, Excel, Machine Learning")</f>
        <v>Python, SQL, Excel, Machine Learning</v>
      </c>
      <c r="K336" s="7" t="str">
        <f>IFERROR(__xludf.DUMMYFUNCTION("""COMPUTED_VALUE"""),"Permanent")</f>
        <v>Permanent</v>
      </c>
      <c r="L336" s="7" t="str">
        <f>IFERROR(__xludf.DUMMYFUNCTION("""COMPUTED_VALUE"""),"4,2")</f>
        <v>4,2</v>
      </c>
      <c r="M336" s="7"/>
      <c r="N336" s="7"/>
      <c r="O336" s="7"/>
    </row>
    <row r="337">
      <c r="A337" s="29">
        <f>IFERROR(__xludf.DUMMYFUNCTION("""COMPUTED_VALUE"""),333.0)</f>
        <v>333</v>
      </c>
      <c r="B337" s="7" t="str">
        <f>IFERROR(__xludf.DUMMYFUNCTION("""COMPUTED_VALUE"""),"vor 21 Tagen")</f>
        <v>vor 21 Tagen</v>
      </c>
      <c r="C337" s="7" t="str">
        <f>IFERROR(__xludf.DUMMYFUNCTION("""COMPUTED_VALUE"""),"Full-time opportunities for students &amp; recent graduates: Tec...")</f>
        <v>Full-time opportunities for students &amp; recent graduates: Tec...</v>
      </c>
      <c r="D337" s="7" t="str">
        <f>IFERROR(__xludf.DUMMYFUNCTION("""COMPUTED_VALUE"""),"München")</f>
        <v>München</v>
      </c>
      <c r="E337" s="7" t="str">
        <f>IFERROR(__xludf.DUMMYFUNCTION("""COMPUTED_VALUE"""),"Microsoft")</f>
        <v>Microsoft</v>
      </c>
      <c r="F337" s="7" t="str">
        <f>IFERROR(__xludf.DUMMYFUNCTION("""COMPUTED_VALUE"""),"None")</f>
        <v>None</v>
      </c>
      <c r="G337" s="7" t="str">
        <f>IFERROR(__xludf.DUMMYFUNCTION("""COMPUTED_VALUE"""),"No salary data")</f>
        <v>No salary data</v>
      </c>
      <c r="H337" s="7" t="str">
        <f>IFERROR(__xludf.DUMMYFUNCTION("""COMPUTED_VALUE"""),"No salary data")</f>
        <v>No salary data</v>
      </c>
      <c r="I337" s="7" t="str">
        <f>IFERROR(__xludf.DUMMYFUNCTION("""COMPUTED_VALUE"""),"No salary data")</f>
        <v>No salary data</v>
      </c>
      <c r="J337" s="7" t="str">
        <f>IFERROR(__xludf.DUMMYFUNCTION("""COMPUTED_VALUE"""),"Excel, Machine Learning, Git")</f>
        <v>Excel, Machine Learning, Git</v>
      </c>
      <c r="K337" s="7" t="str">
        <f>IFERROR(__xludf.DUMMYFUNCTION("""COMPUTED_VALUE"""),"Contract")</f>
        <v>Contract</v>
      </c>
      <c r="L337" s="7" t="str">
        <f>IFERROR(__xludf.DUMMYFUNCTION("""COMPUTED_VALUE"""),"4,2")</f>
        <v>4,2</v>
      </c>
      <c r="M337" s="7"/>
      <c r="N337" s="7"/>
      <c r="O337" s="7"/>
    </row>
    <row r="338">
      <c r="A338" s="29">
        <f>IFERROR(__xludf.DUMMYFUNCTION("""COMPUTED_VALUE"""),334.0)</f>
        <v>334</v>
      </c>
      <c r="B338" s="7" t="str">
        <f>IFERROR(__xludf.DUMMYFUNCTION("""COMPUTED_VALUE"""),"Vor mehr als 30 Tagen")</f>
        <v>Vor mehr als 30 Tagen</v>
      </c>
      <c r="C338" s="7" t="str">
        <f>IFERROR(__xludf.DUMMYFUNCTION("""COMPUTED_VALUE"""),"Starcom - Trainee Data &amp; Analytics (m/w/d) - Frankfurt")</f>
        <v>Starcom - Trainee Data &amp; Analytics (m/w/d) - Frankfurt</v>
      </c>
      <c r="D338" s="7" t="str">
        <f>IFERROR(__xludf.DUMMYFUNCTION("""COMPUTED_VALUE"""),"Frankfurt am Main")</f>
        <v>Frankfurt am Main</v>
      </c>
      <c r="E338" s="7" t="str">
        <f>IFERROR(__xludf.DUMMYFUNCTION("""COMPUTED_VALUE"""),"Starcom")</f>
        <v>Starcom</v>
      </c>
      <c r="F338" s="7" t="str">
        <f>IFERROR(__xludf.DUMMYFUNCTION("""COMPUTED_VALUE"""),"None")</f>
        <v>None</v>
      </c>
      <c r="G338" s="7" t="str">
        <f>IFERROR(__xludf.DUMMYFUNCTION("""COMPUTED_VALUE"""),"No salary data")</f>
        <v>No salary data</v>
      </c>
      <c r="H338" s="7" t="str">
        <f>IFERROR(__xludf.DUMMYFUNCTION("""COMPUTED_VALUE"""),"No salary data")</f>
        <v>No salary data</v>
      </c>
      <c r="I338" s="7" t="str">
        <f>IFERROR(__xludf.DUMMYFUNCTION("""COMPUTED_VALUE"""),"No salary data")</f>
        <v>No salary data</v>
      </c>
      <c r="J338" s="7" t="str">
        <f>IFERROR(__xludf.DUMMYFUNCTION("""COMPUTED_VALUE"""),"Excel")</f>
        <v>Excel</v>
      </c>
      <c r="K338" s="7" t="str">
        <f>IFERROR(__xludf.DUMMYFUNCTION("""COMPUTED_VALUE"""),"No job type data")</f>
        <v>No job type data</v>
      </c>
      <c r="L338" s="7" t="str">
        <f>IFERROR(__xludf.DUMMYFUNCTION("""COMPUTED_VALUE"""),"None")</f>
        <v>None</v>
      </c>
      <c r="M338" s="7"/>
      <c r="N338" s="7"/>
      <c r="O338" s="7"/>
    </row>
    <row r="339">
      <c r="A339" s="29">
        <f>IFERROR(__xludf.DUMMYFUNCTION("""COMPUTED_VALUE"""),335.0)</f>
        <v>335</v>
      </c>
      <c r="B339" s="7" t="str">
        <f>IFERROR(__xludf.DUMMYFUNCTION("""COMPUTED_VALUE"""),"vor 4 Tagen")</f>
        <v>vor 4 Tagen</v>
      </c>
      <c r="C339" s="7" t="str">
        <f>IFERROR(__xludf.DUMMYFUNCTION("""COMPUTED_VALUE"""),"Data Scientist (m/w/d)")</f>
        <v>Data Scientist (m/w/d)</v>
      </c>
      <c r="D339" s="7" t="str">
        <f>IFERROR(__xludf.DUMMYFUNCTION("""COMPUTED_VALUE"""),"Hamburg")</f>
        <v>Hamburg</v>
      </c>
      <c r="E339" s="7" t="str">
        <f>IFERROR(__xludf.DUMMYFUNCTION("""COMPUTED_VALUE"""),"annalect")</f>
        <v>annalect</v>
      </c>
      <c r="F339" s="7" t="str">
        <f>IFERROR(__xludf.DUMMYFUNCTION("""COMPUTED_VALUE"""),"None")</f>
        <v>None</v>
      </c>
      <c r="G339" s="7" t="str">
        <f>IFERROR(__xludf.DUMMYFUNCTION("""COMPUTED_VALUE"""),"No salary data")</f>
        <v>No salary data</v>
      </c>
      <c r="H339" s="7" t="str">
        <f>IFERROR(__xludf.DUMMYFUNCTION("""COMPUTED_VALUE"""),"No salary data")</f>
        <v>No salary data</v>
      </c>
      <c r="I339" s="7" t="str">
        <f>IFERROR(__xludf.DUMMYFUNCTION("""COMPUTED_VALUE"""),"No salary data")</f>
        <v>No salary data</v>
      </c>
      <c r="J339" s="7" t="str">
        <f>IFERROR(__xludf.DUMMYFUNCTION("""COMPUTED_VALUE"""),"Python, SQL, Git")</f>
        <v>Python, SQL, Git</v>
      </c>
      <c r="K339" s="7" t="str">
        <f>IFERROR(__xludf.DUMMYFUNCTION("""COMPUTED_VALUE"""),"No job type data")</f>
        <v>No job type data</v>
      </c>
      <c r="L339" s="7" t="str">
        <f>IFERROR(__xludf.DUMMYFUNCTION("""COMPUTED_VALUE"""),"None")</f>
        <v>None</v>
      </c>
      <c r="M339" s="7"/>
      <c r="N339" s="7"/>
      <c r="O339" s="7"/>
    </row>
    <row r="340">
      <c r="A340" s="29">
        <f>IFERROR(__xludf.DUMMYFUNCTION("""COMPUTED_VALUE"""),336.0)</f>
        <v>336</v>
      </c>
      <c r="B340" s="7" t="str">
        <f>IFERROR(__xludf.DUMMYFUNCTION("""COMPUTED_VALUE"""),"Vor mehr als 30 Tagen")</f>
        <v>Vor mehr als 30 Tagen</v>
      </c>
      <c r="C340" s="7" t="str">
        <f>IFERROR(__xludf.DUMMYFUNCTION("""COMPUTED_VALUE"""),"Data Warehouse Reporting Spezialist (m/w/d)")</f>
        <v>Data Warehouse Reporting Spezialist (m/w/d)</v>
      </c>
      <c r="D340" s="7" t="str">
        <f>IFERROR(__xludf.DUMMYFUNCTION("""COMPUTED_VALUE"""),"Görgeshausen")</f>
        <v>Görgeshausen</v>
      </c>
      <c r="E340" s="7" t="str">
        <f>IFERROR(__xludf.DUMMYFUNCTION("""COMPUTED_VALUE"""),"XXXLutz")</f>
        <v>XXXLutz</v>
      </c>
      <c r="F340" s="7" t="str">
        <f>IFERROR(__xludf.DUMMYFUNCTION("""COMPUTED_VALUE"""),"None")</f>
        <v>None</v>
      </c>
      <c r="G340" s="7" t="str">
        <f>IFERROR(__xludf.DUMMYFUNCTION("""COMPUTED_VALUE"""),"No salary data")</f>
        <v>No salary data</v>
      </c>
      <c r="H340" s="7" t="str">
        <f>IFERROR(__xludf.DUMMYFUNCTION("""COMPUTED_VALUE"""),"No salary data")</f>
        <v>No salary data</v>
      </c>
      <c r="I340" s="7" t="str">
        <f>IFERROR(__xludf.DUMMYFUNCTION("""COMPUTED_VALUE"""),"No salary data")</f>
        <v>No salary data</v>
      </c>
      <c r="J340" s="7" t="str">
        <f>IFERROR(__xludf.DUMMYFUNCTION("""COMPUTED_VALUE"""),"SQL, Git, Agile")</f>
        <v>SQL, Git, Agile</v>
      </c>
      <c r="K340" s="7" t="str">
        <f>IFERROR(__xludf.DUMMYFUNCTION("""COMPUTED_VALUE"""),"No job type data")</f>
        <v>No job type data</v>
      </c>
      <c r="L340" s="7" t="str">
        <f>IFERROR(__xludf.DUMMYFUNCTION("""COMPUTED_VALUE"""),"2,9")</f>
        <v>2,9</v>
      </c>
      <c r="M340" s="7"/>
      <c r="N340" s="7"/>
      <c r="O340" s="7"/>
    </row>
    <row r="341">
      <c r="A341" s="29">
        <f>IFERROR(__xludf.DUMMYFUNCTION("""COMPUTED_VALUE"""),337.0)</f>
        <v>337</v>
      </c>
      <c r="B341" s="7" t="str">
        <f>IFERROR(__xludf.DUMMYFUNCTION("""COMPUTED_VALUE"""),"vor 18 Tagen")</f>
        <v>vor 18 Tagen</v>
      </c>
      <c r="C341" s="7" t="str">
        <f>IFERROR(__xludf.DUMMYFUNCTION("""COMPUTED_VALUE"""),"Business Intelligence &amp; Data Engineer (m/w/d)")</f>
        <v>Business Intelligence &amp; Data Engineer (m/w/d)</v>
      </c>
      <c r="D341" s="7" t="str">
        <f>IFERROR(__xludf.DUMMYFUNCTION("""COMPUTED_VALUE"""),"Heidelberg")</f>
        <v>Heidelberg</v>
      </c>
      <c r="E341" s="7" t="str">
        <f>IFERROR(__xludf.DUMMYFUNCTION("""COMPUTED_VALUE"""),"Verivox GmbH")</f>
        <v>Verivox GmbH</v>
      </c>
      <c r="F341" s="7" t="str">
        <f>IFERROR(__xludf.DUMMYFUNCTION("""COMPUTED_VALUE"""),"None")</f>
        <v>None</v>
      </c>
      <c r="G341" s="7" t="str">
        <f>IFERROR(__xludf.DUMMYFUNCTION("""COMPUTED_VALUE"""),"No salary data")</f>
        <v>No salary data</v>
      </c>
      <c r="H341" s="7" t="str">
        <f>IFERROR(__xludf.DUMMYFUNCTION("""COMPUTED_VALUE"""),"No salary data")</f>
        <v>No salary data</v>
      </c>
      <c r="I341" s="7" t="str">
        <f>IFERROR(__xludf.DUMMYFUNCTION("""COMPUTED_VALUE"""),"No salary data")</f>
        <v>No salary data</v>
      </c>
      <c r="J341" s="7" t="str">
        <f>IFERROR(__xludf.DUMMYFUNCTION("""COMPUTED_VALUE"""),"Python, SQL")</f>
        <v>Python, SQL</v>
      </c>
      <c r="K341" s="7" t="str">
        <f>IFERROR(__xludf.DUMMYFUNCTION("""COMPUTED_VALUE"""),"No job type data")</f>
        <v>No job type data</v>
      </c>
      <c r="L341" s="7" t="str">
        <f>IFERROR(__xludf.DUMMYFUNCTION("""COMPUTED_VALUE"""),"4,1")</f>
        <v>4,1</v>
      </c>
      <c r="M341" s="7"/>
      <c r="N341" s="7"/>
      <c r="O341" s="7"/>
    </row>
    <row r="342">
      <c r="A342" s="29">
        <f>IFERROR(__xludf.DUMMYFUNCTION("""COMPUTED_VALUE"""),338.0)</f>
        <v>338</v>
      </c>
      <c r="B342" s="7" t="str">
        <f>IFERROR(__xludf.DUMMYFUNCTION("""COMPUTED_VALUE"""),"vor 3 Tagen")</f>
        <v>vor 3 Tagen</v>
      </c>
      <c r="C342" s="7" t="str">
        <f>IFERROR(__xludf.DUMMYFUNCTION("""COMPUTED_VALUE"""),"DataOps Engineer Business Intelligence – Azure (m/f/d)")</f>
        <v>DataOps Engineer Business Intelligence – Azure (m/f/d)</v>
      </c>
      <c r="D342" s="7" t="str">
        <f>IFERROR(__xludf.DUMMYFUNCTION("""COMPUTED_VALUE"""),"Hamburg")</f>
        <v>Hamburg</v>
      </c>
      <c r="E342" s="7" t="str">
        <f>IFERROR(__xludf.DUMMYFUNCTION("""COMPUTED_VALUE"""),"Marquard &amp; Bahls AG")</f>
        <v>Marquard &amp; Bahls AG</v>
      </c>
      <c r="F342" s="7" t="str">
        <f>IFERROR(__xludf.DUMMYFUNCTION("""COMPUTED_VALUE"""),"None")</f>
        <v>None</v>
      </c>
      <c r="G342" s="7" t="str">
        <f>IFERROR(__xludf.DUMMYFUNCTION("""COMPUTED_VALUE"""),"No salary data")</f>
        <v>No salary data</v>
      </c>
      <c r="H342" s="7" t="str">
        <f>IFERROR(__xludf.DUMMYFUNCTION("""COMPUTED_VALUE"""),"No salary data")</f>
        <v>No salary data</v>
      </c>
      <c r="I342" s="7" t="str">
        <f>IFERROR(__xludf.DUMMYFUNCTION("""COMPUTED_VALUE"""),"No salary data")</f>
        <v>No salary data</v>
      </c>
      <c r="J342" s="7" t="str">
        <f>IFERROR(__xludf.DUMMYFUNCTION("""COMPUTED_VALUE"""),"Python, SQL, Machine Learning, Agile, Scrum")</f>
        <v>Python, SQL, Machine Learning, Agile, Scrum</v>
      </c>
      <c r="K342" s="7" t="str">
        <f>IFERROR(__xludf.DUMMYFUNCTION("""COMPUTED_VALUE"""),"No job type data")</f>
        <v>No job type data</v>
      </c>
      <c r="L342" s="7" t="str">
        <f>IFERROR(__xludf.DUMMYFUNCTION("""COMPUTED_VALUE"""),"None")</f>
        <v>None</v>
      </c>
      <c r="M342" s="7"/>
      <c r="N342" s="7"/>
      <c r="O342" s="7"/>
    </row>
    <row r="343">
      <c r="A343" s="29">
        <f>IFERROR(__xludf.DUMMYFUNCTION("""COMPUTED_VALUE"""),339.0)</f>
        <v>339</v>
      </c>
      <c r="B343" s="7" t="str">
        <f>IFERROR(__xludf.DUMMYFUNCTION("""COMPUTED_VALUE"""),"Vor mehr als 30 Tagen")</f>
        <v>Vor mehr als 30 Tagen</v>
      </c>
      <c r="C343" s="7" t="str">
        <f>IFERROR(__xludf.DUMMYFUNCTION("""COMPUTED_VALUE"""),"Praktikum Data Analytics (d/m/w)")</f>
        <v>Praktikum Data Analytics (d/m/w)</v>
      </c>
      <c r="D343" s="7" t="str">
        <f>IFERROR(__xludf.DUMMYFUNCTION("""COMPUTED_VALUE"""),"Berlin")</f>
        <v>Berlin</v>
      </c>
      <c r="E343" s="7" t="str">
        <f>IFERROR(__xludf.DUMMYFUNCTION("""COMPUTED_VALUE"""),"AUTO1")</f>
        <v>AUTO1</v>
      </c>
      <c r="F343" s="7" t="str">
        <f>IFERROR(__xludf.DUMMYFUNCTION("""COMPUTED_VALUE"""),"None")</f>
        <v>None</v>
      </c>
      <c r="G343" s="7" t="str">
        <f>IFERROR(__xludf.DUMMYFUNCTION("""COMPUTED_VALUE"""),"No salary data")</f>
        <v>No salary data</v>
      </c>
      <c r="H343" s="7" t="str">
        <f>IFERROR(__xludf.DUMMYFUNCTION("""COMPUTED_VALUE"""),"No salary data")</f>
        <v>No salary data</v>
      </c>
      <c r="I343" s="7" t="str">
        <f>IFERROR(__xludf.DUMMYFUNCTION("""COMPUTED_VALUE"""),"No salary data")</f>
        <v>No salary data</v>
      </c>
      <c r="J343" s="7" t="str">
        <f>IFERROR(__xludf.DUMMYFUNCTION("""COMPUTED_VALUE"""),"Python, SQL, Google Sheets, Git")</f>
        <v>Python, SQL, Google Sheets, Git</v>
      </c>
      <c r="K343" s="7" t="str">
        <f>IFERROR(__xludf.DUMMYFUNCTION("""COMPUTED_VALUE"""),"No job type data")</f>
        <v>No job type data</v>
      </c>
      <c r="L343" s="7" t="str">
        <f>IFERROR(__xludf.DUMMYFUNCTION("""COMPUTED_VALUE"""),"3,1")</f>
        <v>3,1</v>
      </c>
      <c r="M343" s="7"/>
      <c r="N343" s="7"/>
      <c r="O343" s="7"/>
    </row>
    <row r="344">
      <c r="A344" s="29">
        <f>IFERROR(__xludf.DUMMYFUNCTION("""COMPUTED_VALUE"""),340.0)</f>
        <v>340</v>
      </c>
      <c r="B344" s="7" t="str">
        <f>IFERROR(__xludf.DUMMYFUNCTION("""COMPUTED_VALUE"""),"Gerade geschaltet")</f>
        <v>Gerade geschaltet</v>
      </c>
      <c r="C344" s="7" t="str">
        <f>IFERROR(__xludf.DUMMYFUNCTION("""COMPUTED_VALUE"""),"Bioinformatician, Computational Biologist - Omics Data (m/f/...")</f>
        <v>Bioinformatician, Computational Biologist - Omics Data (m/f/...</v>
      </c>
      <c r="D344" s="7" t="str">
        <f>IFERROR(__xludf.DUMMYFUNCTION("""COMPUTED_VALUE"""),"Frankfurt am Main")</f>
        <v>Frankfurt am Main</v>
      </c>
      <c r="E344" s="7" t="str">
        <f>IFERROR(__xludf.DUMMYFUNCTION("""COMPUTED_VALUE"""),"Proteome Sciences R&amp;D GmbH &amp; Co KG")</f>
        <v>Proteome Sciences R&amp;D GmbH &amp; Co KG</v>
      </c>
      <c r="F344" s="7" t="str">
        <f>IFERROR(__xludf.DUMMYFUNCTION("""COMPUTED_VALUE"""),"None")</f>
        <v>None</v>
      </c>
      <c r="G344" s="7" t="str">
        <f>IFERROR(__xludf.DUMMYFUNCTION("""COMPUTED_VALUE"""),"No salary data")</f>
        <v>No salary data</v>
      </c>
      <c r="H344" s="7" t="str">
        <f>IFERROR(__xludf.DUMMYFUNCTION("""COMPUTED_VALUE"""),"No salary data")</f>
        <v>No salary data</v>
      </c>
      <c r="I344" s="7" t="str">
        <f>IFERROR(__xludf.DUMMYFUNCTION("""COMPUTED_VALUE"""),"No salary data")</f>
        <v>No salary data</v>
      </c>
      <c r="J344" s="7" t="str">
        <f>IFERROR(__xludf.DUMMYFUNCTION("""COMPUTED_VALUE"""),"Python, Excel, Machine Learning, Statistic")</f>
        <v>Python, Excel, Machine Learning, Statistic</v>
      </c>
      <c r="K344" s="7" t="str">
        <f>IFERROR(__xludf.DUMMYFUNCTION("""COMPUTED_VALUE"""),"Internship")</f>
        <v>Internship</v>
      </c>
      <c r="L344" s="7" t="str">
        <f>IFERROR(__xludf.DUMMYFUNCTION("""COMPUTED_VALUE"""),"None")</f>
        <v>None</v>
      </c>
      <c r="M344" s="7"/>
      <c r="N344" s="7"/>
      <c r="O344" s="7"/>
    </row>
    <row r="345">
      <c r="A345" s="29">
        <f>IFERROR(__xludf.DUMMYFUNCTION("""COMPUTED_VALUE"""),341.0)</f>
        <v>341</v>
      </c>
      <c r="B345" s="7" t="str">
        <f>IFERROR(__xludf.DUMMYFUNCTION("""COMPUTED_VALUE"""),"Vor mehr als 30 Tagen")</f>
        <v>Vor mehr als 30 Tagen</v>
      </c>
      <c r="C345" s="7" t="str">
        <f>IFERROR(__xludf.DUMMYFUNCTION("""COMPUTED_VALUE"""),"Data Engineer (m/w/d)")</f>
        <v>Data Engineer (m/w/d)</v>
      </c>
      <c r="D345" s="7" t="str">
        <f>IFERROR(__xludf.DUMMYFUNCTION("""COMPUTED_VALUE"""),"Dortmund")</f>
        <v>Dortmund</v>
      </c>
      <c r="E345" s="7" t="str">
        <f>IFERROR(__xludf.DUMMYFUNCTION("""COMPUTED_VALUE"""),"QuinScape GmbH")</f>
        <v>QuinScape GmbH</v>
      </c>
      <c r="F345" s="7" t="str">
        <f>IFERROR(__xludf.DUMMYFUNCTION("""COMPUTED_VALUE"""),"None")</f>
        <v>None</v>
      </c>
      <c r="G345" s="7" t="str">
        <f>IFERROR(__xludf.DUMMYFUNCTION("""COMPUTED_VALUE"""),"No salary data")</f>
        <v>No salary data</v>
      </c>
      <c r="H345" s="7" t="str">
        <f>IFERROR(__xludf.DUMMYFUNCTION("""COMPUTED_VALUE"""),"No salary data")</f>
        <v>No salary data</v>
      </c>
      <c r="I345" s="7" t="str">
        <f>IFERROR(__xludf.DUMMYFUNCTION("""COMPUTED_VALUE"""),"No salary data")</f>
        <v>No salary data</v>
      </c>
      <c r="J345" s="7" t="str">
        <f>IFERROR(__xludf.DUMMYFUNCTION("""COMPUTED_VALUE"""),"Python, SQL, Git, Agile")</f>
        <v>Python, SQL, Git, Agile</v>
      </c>
      <c r="K345" s="7" t="str">
        <f>IFERROR(__xludf.DUMMYFUNCTION("""COMPUTED_VALUE"""),"No job type data")</f>
        <v>No job type data</v>
      </c>
      <c r="L345" s="7" t="str">
        <f>IFERROR(__xludf.DUMMYFUNCTION("""COMPUTED_VALUE"""),"None")</f>
        <v>None</v>
      </c>
      <c r="M345" s="7"/>
      <c r="N345" s="7"/>
      <c r="O345" s="7"/>
    </row>
    <row r="346">
      <c r="A346" s="29">
        <f>IFERROR(__xludf.DUMMYFUNCTION("""COMPUTED_VALUE"""),342.0)</f>
        <v>342</v>
      </c>
      <c r="B346" s="7" t="str">
        <f>IFERROR(__xludf.DUMMYFUNCTION("""COMPUTED_VALUE"""),"Vor mehr als 30 Tagen")</f>
        <v>Vor mehr als 30 Tagen</v>
      </c>
      <c r="C346" s="7" t="str">
        <f>IFERROR(__xludf.DUMMYFUNCTION("""COMPUTED_VALUE"""),"Data Scientist / Data Engineer")</f>
        <v>Data Scientist / Data Engineer</v>
      </c>
      <c r="D346" s="7" t="str">
        <f>IFERROR(__xludf.DUMMYFUNCTION("""COMPUTED_VALUE"""),"Frankfurt am Main")</f>
        <v>Frankfurt am Main</v>
      </c>
      <c r="E346" s="7" t="str">
        <f>IFERROR(__xludf.DUMMYFUNCTION("""COMPUTED_VALUE"""),"Bettzeit GmbH")</f>
        <v>Bettzeit GmbH</v>
      </c>
      <c r="F346" s="7" t="str">
        <f>IFERROR(__xludf.DUMMYFUNCTION("""COMPUTED_VALUE"""),"None")</f>
        <v>None</v>
      </c>
      <c r="G346" s="7" t="str">
        <f>IFERROR(__xludf.DUMMYFUNCTION("""COMPUTED_VALUE"""),"No salary data")</f>
        <v>No salary data</v>
      </c>
      <c r="H346" s="7" t="str">
        <f>IFERROR(__xludf.DUMMYFUNCTION("""COMPUTED_VALUE"""),"No salary data")</f>
        <v>No salary data</v>
      </c>
      <c r="I346" s="7" t="str">
        <f>IFERROR(__xludf.DUMMYFUNCTION("""COMPUTED_VALUE"""),"No salary data")</f>
        <v>No salary data</v>
      </c>
      <c r="J346" s="7" t="str">
        <f>IFERROR(__xludf.DUMMYFUNCTION("""COMPUTED_VALUE"""),"Python, Tableau, Excel, Machine Learning, Statistic")</f>
        <v>Python, Tableau, Excel, Machine Learning, Statistic</v>
      </c>
      <c r="K346" s="7" t="str">
        <f>IFERROR(__xludf.DUMMYFUNCTION("""COMPUTED_VALUE"""),"No job type data")</f>
        <v>No job type data</v>
      </c>
      <c r="L346" s="7" t="str">
        <f>IFERROR(__xludf.DUMMYFUNCTION("""COMPUTED_VALUE"""),"4,5")</f>
        <v>4,5</v>
      </c>
      <c r="M346" s="7"/>
      <c r="N346" s="7"/>
      <c r="O346" s="7"/>
    </row>
    <row r="347">
      <c r="A347" s="29">
        <f>IFERROR(__xludf.DUMMYFUNCTION("""COMPUTED_VALUE"""),343.0)</f>
        <v>343</v>
      </c>
      <c r="B347" s="7" t="str">
        <f>IFERROR(__xludf.DUMMYFUNCTION("""COMPUTED_VALUE"""),"vor 12 Tagen")</f>
        <v>vor 12 Tagen</v>
      </c>
      <c r="C347" s="7" t="str">
        <f>IFERROR(__xludf.DUMMYFUNCTION("""COMPUTED_VALUE"""),"Data Pipeline Engineer")</f>
        <v>Data Pipeline Engineer</v>
      </c>
      <c r="D347" s="7" t="str">
        <f>IFERROR(__xludf.DUMMYFUNCTION("""COMPUTED_VALUE"""),"Berlin")</f>
        <v>Berlin</v>
      </c>
      <c r="E347" s="7" t="str">
        <f>IFERROR(__xludf.DUMMYFUNCTION("""COMPUTED_VALUE"""),"TMP Worldwide Advertising &amp; Communications, LLC")</f>
        <v>TMP Worldwide Advertising &amp; Communications, LLC</v>
      </c>
      <c r="F347" s="7" t="str">
        <f>IFERROR(__xludf.DUMMYFUNCTION("""COMPUTED_VALUE"""),"None")</f>
        <v>None</v>
      </c>
      <c r="G347" s="7" t="str">
        <f>IFERROR(__xludf.DUMMYFUNCTION("""COMPUTED_VALUE"""),"No salary data")</f>
        <v>No salary data</v>
      </c>
      <c r="H347" s="7" t="str">
        <f>IFERROR(__xludf.DUMMYFUNCTION("""COMPUTED_VALUE"""),"No salary data")</f>
        <v>No salary data</v>
      </c>
      <c r="I347" s="7" t="str">
        <f>IFERROR(__xludf.DUMMYFUNCTION("""COMPUTED_VALUE"""),"No salary data")</f>
        <v>No salary data</v>
      </c>
      <c r="J347" s="7" t="str">
        <f>IFERROR(__xludf.DUMMYFUNCTION("""COMPUTED_VALUE"""),"Python, SQL, Excel, Git")</f>
        <v>Python, SQL, Excel, Git</v>
      </c>
      <c r="K347" s="7" t="str">
        <f>IFERROR(__xludf.DUMMYFUNCTION("""COMPUTED_VALUE"""),"No job type data")</f>
        <v>No job type data</v>
      </c>
      <c r="L347" s="7" t="str">
        <f>IFERROR(__xludf.DUMMYFUNCTION("""COMPUTED_VALUE"""),"None")</f>
        <v>None</v>
      </c>
      <c r="M347" s="7"/>
      <c r="N347" s="7"/>
      <c r="O347" s="7"/>
    </row>
    <row r="348">
      <c r="A348" s="29">
        <f>IFERROR(__xludf.DUMMYFUNCTION("""COMPUTED_VALUE"""),344.0)</f>
        <v>344</v>
      </c>
      <c r="B348" s="7" t="str">
        <f>IFERROR(__xludf.DUMMYFUNCTION("""COMPUTED_VALUE"""),"Vor mehr als 30 Tagen")</f>
        <v>Vor mehr als 30 Tagen</v>
      </c>
      <c r="C348" s="7" t="str">
        <f>IFERROR(__xludf.DUMMYFUNCTION("""COMPUTED_VALUE"""),"Statistical Analyst (m/f/d)")</f>
        <v>Statistical Analyst (m/f/d)</v>
      </c>
      <c r="D348" s="7" t="str">
        <f>IFERROR(__xludf.DUMMYFUNCTION("""COMPUTED_VALUE"""),"Leverkusen")</f>
        <v>Leverkusen</v>
      </c>
      <c r="E348" s="7" t="str">
        <f>IFERROR(__xludf.DUMMYFUNCTION("""COMPUTED_VALUE"""),"Bayer")</f>
        <v>Bayer</v>
      </c>
      <c r="F348" s="7" t="str">
        <f>IFERROR(__xludf.DUMMYFUNCTION("""COMPUTED_VALUE"""),"None")</f>
        <v>None</v>
      </c>
      <c r="G348" s="7" t="str">
        <f>IFERROR(__xludf.DUMMYFUNCTION("""COMPUTED_VALUE"""),"No salary data")</f>
        <v>No salary data</v>
      </c>
      <c r="H348" s="7" t="str">
        <f>IFERROR(__xludf.DUMMYFUNCTION("""COMPUTED_VALUE"""),"No salary data")</f>
        <v>No salary data</v>
      </c>
      <c r="I348" s="7" t="str">
        <f>IFERROR(__xludf.DUMMYFUNCTION("""COMPUTED_VALUE"""),"No salary data")</f>
        <v>No salary data</v>
      </c>
      <c r="J348" s="7" t="str">
        <f>IFERROR(__xludf.DUMMYFUNCTION("""COMPUTED_VALUE"""),"Python, SQL, Statistic")</f>
        <v>Python, SQL, Statistic</v>
      </c>
      <c r="K348" s="7" t="str">
        <f>IFERROR(__xludf.DUMMYFUNCTION("""COMPUTED_VALUE"""),"No job type data")</f>
        <v>No job type data</v>
      </c>
      <c r="L348" s="7" t="str">
        <f>IFERROR(__xludf.DUMMYFUNCTION("""COMPUTED_VALUE"""),"4,2")</f>
        <v>4,2</v>
      </c>
      <c r="M348" s="7"/>
      <c r="N348" s="7"/>
      <c r="O348" s="7"/>
    </row>
    <row r="349">
      <c r="A349" s="29">
        <f>IFERROR(__xludf.DUMMYFUNCTION("""COMPUTED_VALUE"""),345.0)</f>
        <v>345</v>
      </c>
      <c r="B349" s="7" t="str">
        <f>IFERROR(__xludf.DUMMYFUNCTION("""COMPUTED_VALUE"""),"Vor mehr als 30 Tagen")</f>
        <v>Vor mehr als 30 Tagen</v>
      </c>
      <c r="C349" s="7" t="str">
        <f>IFERROR(__xludf.DUMMYFUNCTION("""COMPUTED_VALUE"""),"Technical Data Analyst (all genders welcome)")</f>
        <v>Technical Data Analyst (all genders welcome)</v>
      </c>
      <c r="D349" s="7" t="str">
        <f>IFERROR(__xludf.DUMMYFUNCTION("""COMPUTED_VALUE"""),"Dresden")</f>
        <v>Dresden</v>
      </c>
      <c r="E349" s="7" t="str">
        <f>IFERROR(__xludf.DUMMYFUNCTION("""COMPUTED_VALUE"""),"ROSEN Group")</f>
        <v>ROSEN Group</v>
      </c>
      <c r="F349" s="7" t="str">
        <f>IFERROR(__xludf.DUMMYFUNCTION("""COMPUTED_VALUE"""),"None")</f>
        <v>None</v>
      </c>
      <c r="G349" s="7" t="str">
        <f>IFERROR(__xludf.DUMMYFUNCTION("""COMPUTED_VALUE"""),"No salary data")</f>
        <v>No salary data</v>
      </c>
      <c r="H349" s="7" t="str">
        <f>IFERROR(__xludf.DUMMYFUNCTION("""COMPUTED_VALUE"""),"No salary data")</f>
        <v>No salary data</v>
      </c>
      <c r="I349" s="7" t="str">
        <f>IFERROR(__xludf.DUMMYFUNCTION("""COMPUTED_VALUE"""),"No salary data")</f>
        <v>No salary data</v>
      </c>
      <c r="J349" s="7" t="str">
        <f>IFERROR(__xludf.DUMMYFUNCTION("""COMPUTED_VALUE"""),"Excel")</f>
        <v>Excel</v>
      </c>
      <c r="K349" s="7" t="str">
        <f>IFERROR(__xludf.DUMMYFUNCTION("""COMPUTED_VALUE"""),"No job type data")</f>
        <v>No job type data</v>
      </c>
      <c r="L349" s="7" t="str">
        <f>IFERROR(__xludf.DUMMYFUNCTION("""COMPUTED_VALUE"""),"None")</f>
        <v>None</v>
      </c>
      <c r="M349" s="7"/>
      <c r="N349" s="7"/>
      <c r="O349" s="7"/>
    </row>
    <row r="350">
      <c r="A350" s="29">
        <f>IFERROR(__xludf.DUMMYFUNCTION("""COMPUTED_VALUE"""),346.0)</f>
        <v>346</v>
      </c>
      <c r="B350" s="7" t="str">
        <f>IFERROR(__xludf.DUMMYFUNCTION("""COMPUTED_VALUE"""),"Vor mehr als 30 Tagen")</f>
        <v>Vor mehr als 30 Tagen</v>
      </c>
      <c r="C350" s="7" t="str">
        <f>IFERROR(__xludf.DUMMYFUNCTION("""COMPUTED_VALUE"""),"(Junior) Consultant Data Engineering (m/w/d)")</f>
        <v>(Junior) Consultant Data Engineering (m/w/d)</v>
      </c>
      <c r="D350" s="7" t="str">
        <f>IFERROR(__xludf.DUMMYFUNCTION("""COMPUTED_VALUE"""),"Deutschland")</f>
        <v>Deutschland</v>
      </c>
      <c r="E350" s="7" t="str">
        <f>IFERROR(__xludf.DUMMYFUNCTION("""COMPUTED_VALUE"""),"mayato GmbH")</f>
        <v>mayato GmbH</v>
      </c>
      <c r="F350" s="7" t="str">
        <f>IFERROR(__xludf.DUMMYFUNCTION("""COMPUTED_VALUE"""),"None")</f>
        <v>None</v>
      </c>
      <c r="G350" s="7" t="str">
        <f>IFERROR(__xludf.DUMMYFUNCTION("""COMPUTED_VALUE"""),"No salary data")</f>
        <v>No salary data</v>
      </c>
      <c r="H350" s="7" t="str">
        <f>IFERROR(__xludf.DUMMYFUNCTION("""COMPUTED_VALUE"""),"No salary data")</f>
        <v>No salary data</v>
      </c>
      <c r="I350" s="7" t="str">
        <f>IFERROR(__xludf.DUMMYFUNCTION("""COMPUTED_VALUE"""),"No salary data")</f>
        <v>No salary data</v>
      </c>
      <c r="J350" s="7" t="str">
        <f>IFERROR(__xludf.DUMMYFUNCTION("""COMPUTED_VALUE"""),"Python, SQL")</f>
        <v>Python, SQL</v>
      </c>
      <c r="K350" s="7" t="str">
        <f>IFERROR(__xludf.DUMMYFUNCTION("""COMPUTED_VALUE"""),"No job type data")</f>
        <v>No job type data</v>
      </c>
      <c r="L350" s="7" t="str">
        <f>IFERROR(__xludf.DUMMYFUNCTION("""COMPUTED_VALUE"""),"4,8")</f>
        <v>4,8</v>
      </c>
      <c r="M350" s="7"/>
      <c r="N350" s="7"/>
      <c r="O350" s="7"/>
    </row>
    <row r="351">
      <c r="A351" s="29">
        <f>IFERROR(__xludf.DUMMYFUNCTION("""COMPUTED_VALUE"""),347.0)</f>
        <v>347</v>
      </c>
      <c r="B351" s="7" t="str">
        <f>IFERROR(__xludf.DUMMYFUNCTION("""COMPUTED_VALUE"""),"vor 14 Tagen")</f>
        <v>vor 14 Tagen</v>
      </c>
      <c r="C351" s="7" t="str">
        <f>IFERROR(__xludf.DUMMYFUNCTION("""COMPUTED_VALUE"""),"Data Scientist Natural Language Understanding (m/f/d)")</f>
        <v>Data Scientist Natural Language Understanding (m/f/d)</v>
      </c>
      <c r="D351" s="7" t="str">
        <f>IFERROR(__xludf.DUMMYFUNCTION("""COMPUTED_VALUE"""),"Hamburg")</f>
        <v>Hamburg</v>
      </c>
      <c r="E351" s="7" t="str">
        <f>IFERROR(__xludf.DUMMYFUNCTION("""COMPUTED_VALUE"""),"Cauliflower GmbH &amp; Co. KG")</f>
        <v>Cauliflower GmbH &amp; Co. KG</v>
      </c>
      <c r="F351" s="7" t="str">
        <f>IFERROR(__xludf.DUMMYFUNCTION("""COMPUTED_VALUE"""),"None")</f>
        <v>None</v>
      </c>
      <c r="G351" s="7" t="str">
        <f>IFERROR(__xludf.DUMMYFUNCTION("""COMPUTED_VALUE"""),"No salary data")</f>
        <v>No salary data</v>
      </c>
      <c r="H351" s="7" t="str">
        <f>IFERROR(__xludf.DUMMYFUNCTION("""COMPUTED_VALUE"""),"No salary data")</f>
        <v>No salary data</v>
      </c>
      <c r="I351" s="7" t="str">
        <f>IFERROR(__xludf.DUMMYFUNCTION("""COMPUTED_VALUE"""),"No salary data")</f>
        <v>No salary data</v>
      </c>
      <c r="J351" s="7" t="str">
        <f>IFERROR(__xludf.DUMMYFUNCTION("""COMPUTED_VALUE"""),"Python, SQL, Tableau, Deep Learning")</f>
        <v>Python, SQL, Tableau, Deep Learning</v>
      </c>
      <c r="K351" s="7" t="str">
        <f>IFERROR(__xludf.DUMMYFUNCTION("""COMPUTED_VALUE"""),"No job type data")</f>
        <v>No job type data</v>
      </c>
      <c r="L351" s="7" t="str">
        <f>IFERROR(__xludf.DUMMYFUNCTION("""COMPUTED_VALUE"""),"None")</f>
        <v>None</v>
      </c>
      <c r="M351" s="7"/>
      <c r="N351" s="7"/>
      <c r="O351" s="7"/>
    </row>
    <row r="352">
      <c r="A352" s="29">
        <f>IFERROR(__xludf.DUMMYFUNCTION("""COMPUTED_VALUE"""),348.0)</f>
        <v>348</v>
      </c>
      <c r="B352" s="7" t="str">
        <f>IFERROR(__xludf.DUMMYFUNCTION("""COMPUTED_VALUE"""),"vor 17 Tagen")</f>
        <v>vor 17 Tagen</v>
      </c>
      <c r="C352" s="7" t="str">
        <f>IFERROR(__xludf.DUMMYFUNCTION("""COMPUTED_VALUE"""),"BI Analyst (m/f/d)")</f>
        <v>BI Analyst (m/f/d)</v>
      </c>
      <c r="D352" s="7" t="str">
        <f>IFERROR(__xludf.DUMMYFUNCTION("""COMPUTED_VALUE"""),"Berlin")</f>
        <v>Berlin</v>
      </c>
      <c r="E352" s="7" t="str">
        <f>IFERROR(__xludf.DUMMYFUNCTION("""COMPUTED_VALUE"""),"Moonfare")</f>
        <v>Moonfare</v>
      </c>
      <c r="F352" s="7" t="str">
        <f>IFERROR(__xludf.DUMMYFUNCTION("""COMPUTED_VALUE"""),"None")</f>
        <v>None</v>
      </c>
      <c r="G352" s="7" t="str">
        <f>IFERROR(__xludf.DUMMYFUNCTION("""COMPUTED_VALUE"""),"No salary data")</f>
        <v>No salary data</v>
      </c>
      <c r="H352" s="7" t="str">
        <f>IFERROR(__xludf.DUMMYFUNCTION("""COMPUTED_VALUE"""),"No salary data")</f>
        <v>No salary data</v>
      </c>
      <c r="I352" s="7" t="str">
        <f>IFERROR(__xludf.DUMMYFUNCTION("""COMPUTED_VALUE"""),"No salary data")</f>
        <v>No salary data</v>
      </c>
      <c r="J352" s="7" t="str">
        <f>IFERROR(__xludf.DUMMYFUNCTION("""COMPUTED_VALUE"""),"Python, SQL, Tableau, Statistic")</f>
        <v>Python, SQL, Tableau, Statistic</v>
      </c>
      <c r="K352" s="7" t="str">
        <f>IFERROR(__xludf.DUMMYFUNCTION("""COMPUTED_VALUE"""),"No job type data")</f>
        <v>No job type data</v>
      </c>
      <c r="L352" s="7" t="str">
        <f>IFERROR(__xludf.DUMMYFUNCTION("""COMPUTED_VALUE"""),"None")</f>
        <v>None</v>
      </c>
      <c r="M352" s="7"/>
      <c r="N352" s="7"/>
      <c r="O352" s="7"/>
    </row>
    <row r="353">
      <c r="A353" s="29">
        <f>IFERROR(__xludf.DUMMYFUNCTION("""COMPUTED_VALUE"""),349.0)</f>
        <v>349</v>
      </c>
      <c r="B353" s="7" t="str">
        <f>IFERROR(__xludf.DUMMYFUNCTION("""COMPUTED_VALUE"""),"Vor mehr als 30 Tagen")</f>
        <v>Vor mehr als 30 Tagen</v>
      </c>
      <c r="C353" s="7" t="str">
        <f>IFERROR(__xludf.DUMMYFUNCTION("""COMPUTED_VALUE"""),"Data Analyst (m/w/d)")</f>
        <v>Data Analyst (m/w/d)</v>
      </c>
      <c r="D353" s="7" t="str">
        <f>IFERROR(__xludf.DUMMYFUNCTION("""COMPUTED_VALUE"""),"Hamburg")</f>
        <v>Hamburg</v>
      </c>
      <c r="E353" s="7" t="str">
        <f>IFERROR(__xludf.DUMMYFUNCTION("""COMPUTED_VALUE"""),"Visable GmbH")</f>
        <v>Visable GmbH</v>
      </c>
      <c r="F353" s="7" t="str">
        <f>IFERROR(__xludf.DUMMYFUNCTION("""COMPUTED_VALUE"""),"None")</f>
        <v>None</v>
      </c>
      <c r="G353" s="7" t="str">
        <f>IFERROR(__xludf.DUMMYFUNCTION("""COMPUTED_VALUE"""),"No salary data")</f>
        <v>No salary data</v>
      </c>
      <c r="H353" s="7" t="str">
        <f>IFERROR(__xludf.DUMMYFUNCTION("""COMPUTED_VALUE"""),"No salary data")</f>
        <v>No salary data</v>
      </c>
      <c r="I353" s="7" t="str">
        <f>IFERROR(__xludf.DUMMYFUNCTION("""COMPUTED_VALUE"""),"No salary data")</f>
        <v>No salary data</v>
      </c>
      <c r="J353" s="7" t="str">
        <f>IFERROR(__xludf.DUMMYFUNCTION("""COMPUTED_VALUE"""),"SQL, Tableau")</f>
        <v>SQL, Tableau</v>
      </c>
      <c r="K353" s="7" t="str">
        <f>IFERROR(__xludf.DUMMYFUNCTION("""COMPUTED_VALUE"""),"No job type data")</f>
        <v>No job type data</v>
      </c>
      <c r="L353" s="7" t="str">
        <f>IFERROR(__xludf.DUMMYFUNCTION("""COMPUTED_VALUE"""),"4,4")</f>
        <v>4,4</v>
      </c>
      <c r="M353" s="7"/>
      <c r="N353" s="7"/>
      <c r="O353" s="7"/>
    </row>
    <row r="354">
      <c r="A354" s="29">
        <f>IFERROR(__xludf.DUMMYFUNCTION("""COMPUTED_VALUE"""),350.0)</f>
        <v>350</v>
      </c>
      <c r="B354" s="7" t="str">
        <f>IFERROR(__xludf.DUMMYFUNCTION("""COMPUTED_VALUE"""),"vor 17 Tagen")</f>
        <v>vor 17 Tagen</v>
      </c>
      <c r="C354" s="7" t="str">
        <f>IFERROR(__xludf.DUMMYFUNCTION("""COMPUTED_VALUE"""),"Data Analytics Consultant (w/m/d)")</f>
        <v>Data Analytics Consultant (w/m/d)</v>
      </c>
      <c r="D354" s="7" t="str">
        <f>IFERROR(__xludf.DUMMYFUNCTION("""COMPUTED_VALUE"""),"Berlin")</f>
        <v>Berlin</v>
      </c>
      <c r="E354" s="7" t="str">
        <f>IFERROR(__xludf.DUMMYFUNCTION("""COMPUTED_VALUE"""),"Digital Motion")</f>
        <v>Digital Motion</v>
      </c>
      <c r="F354" s="7" t="str">
        <f>IFERROR(__xludf.DUMMYFUNCTION("""COMPUTED_VALUE"""),"None")</f>
        <v>None</v>
      </c>
      <c r="G354" s="7" t="str">
        <f>IFERROR(__xludf.DUMMYFUNCTION("""COMPUTED_VALUE"""),"No salary data")</f>
        <v>No salary data</v>
      </c>
      <c r="H354" s="7" t="str">
        <f>IFERROR(__xludf.DUMMYFUNCTION("""COMPUTED_VALUE"""),"No salary data")</f>
        <v>No salary data</v>
      </c>
      <c r="I354" s="7" t="str">
        <f>IFERROR(__xludf.DUMMYFUNCTION("""COMPUTED_VALUE"""),"No salary data")</f>
        <v>No salary data</v>
      </c>
      <c r="J354" s="7" t="str">
        <f>IFERROR(__xludf.DUMMYFUNCTION("""COMPUTED_VALUE"""),"Python, SQL, Tableau, Git, Agile")</f>
        <v>Python, SQL, Tableau, Git, Agile</v>
      </c>
      <c r="K354" s="7" t="str">
        <f>IFERROR(__xludf.DUMMYFUNCTION("""COMPUTED_VALUE"""),"No job type data")</f>
        <v>No job type data</v>
      </c>
      <c r="L354" s="7" t="str">
        <f>IFERROR(__xludf.DUMMYFUNCTION("""COMPUTED_VALUE"""),"None")</f>
        <v>None</v>
      </c>
      <c r="M354" s="7"/>
      <c r="N354" s="7"/>
      <c r="O354" s="7"/>
    </row>
    <row r="355">
      <c r="A355" s="29">
        <f>IFERROR(__xludf.DUMMYFUNCTION("""COMPUTED_VALUE"""),351.0)</f>
        <v>351</v>
      </c>
      <c r="B355" s="7" t="str">
        <f>IFERROR(__xludf.DUMMYFUNCTION("""COMPUTED_VALUE"""),"Vor mehr als 30 Tagen")</f>
        <v>Vor mehr als 30 Tagen</v>
      </c>
      <c r="C355" s="7" t="str">
        <f>IFERROR(__xludf.DUMMYFUNCTION("""COMPUTED_VALUE"""),"Junior Consultant (m/w/d) Data Engineer (Frankfurt)")</f>
        <v>Junior Consultant (m/w/d) Data Engineer (Frankfurt)</v>
      </c>
      <c r="D355" s="7" t="str">
        <f>IFERROR(__xludf.DUMMYFUNCTION("""COMPUTED_VALUE"""),"Frankfurt am Main")</f>
        <v>Frankfurt am Main</v>
      </c>
      <c r="E355" s="7" t="str">
        <f>IFERROR(__xludf.DUMMYFUNCTION("""COMPUTED_VALUE"""),"integration-factory GmbH &amp; Co. KG")</f>
        <v>integration-factory GmbH &amp; Co. KG</v>
      </c>
      <c r="F355" s="7" t="str">
        <f>IFERROR(__xludf.DUMMYFUNCTION("""COMPUTED_VALUE"""),"None")</f>
        <v>None</v>
      </c>
      <c r="G355" s="7" t="str">
        <f>IFERROR(__xludf.DUMMYFUNCTION("""COMPUTED_VALUE"""),"No salary data")</f>
        <v>No salary data</v>
      </c>
      <c r="H355" s="7" t="str">
        <f>IFERROR(__xludf.DUMMYFUNCTION("""COMPUTED_VALUE"""),"No salary data")</f>
        <v>No salary data</v>
      </c>
      <c r="I355" s="7" t="str">
        <f>IFERROR(__xludf.DUMMYFUNCTION("""COMPUTED_VALUE"""),"No salary data")</f>
        <v>No salary data</v>
      </c>
      <c r="J355" s="7"/>
      <c r="K355" s="7" t="str">
        <f>IFERROR(__xludf.DUMMYFUNCTION("""COMPUTED_VALUE"""),"No job type data")</f>
        <v>No job type data</v>
      </c>
      <c r="L355" s="7" t="str">
        <f>IFERROR(__xludf.DUMMYFUNCTION("""COMPUTED_VALUE"""),"5,0")</f>
        <v>5,0</v>
      </c>
      <c r="M355" s="7"/>
      <c r="N355" s="7"/>
      <c r="O355" s="7"/>
    </row>
    <row r="356">
      <c r="A356" s="29">
        <f>IFERROR(__xludf.DUMMYFUNCTION("""COMPUTED_VALUE"""),352.0)</f>
        <v>352</v>
      </c>
      <c r="B356" s="7" t="str">
        <f>IFERROR(__xludf.DUMMYFUNCTION("""COMPUTED_VALUE"""),"vor 20 Tagen")</f>
        <v>vor 20 Tagen</v>
      </c>
      <c r="C356" s="7" t="str">
        <f>IFERROR(__xludf.DUMMYFUNCTION("""COMPUTED_VALUE"""),"Hackers Wanted: Big Data Engineer (m/w/d)")</f>
        <v>Hackers Wanted: Big Data Engineer (m/w/d)</v>
      </c>
      <c r="D356" s="7" t="str">
        <f>IFERROR(__xludf.DUMMYFUNCTION("""COMPUTED_VALUE"""),"Dortmund")</f>
        <v>Dortmund</v>
      </c>
      <c r="E356" s="7" t="str">
        <f>IFERROR(__xludf.DUMMYFUNCTION("""COMPUTED_VALUE"""),"agido GmbH")</f>
        <v>agido GmbH</v>
      </c>
      <c r="F356" s="7" t="str">
        <f>IFERROR(__xludf.DUMMYFUNCTION("""COMPUTED_VALUE"""),"None")</f>
        <v>None</v>
      </c>
      <c r="G356" s="7" t="str">
        <f>IFERROR(__xludf.DUMMYFUNCTION("""COMPUTED_VALUE"""),"No salary data")</f>
        <v>No salary data</v>
      </c>
      <c r="H356" s="7" t="str">
        <f>IFERROR(__xludf.DUMMYFUNCTION("""COMPUTED_VALUE"""),"No salary data")</f>
        <v>No salary data</v>
      </c>
      <c r="I356" s="7" t="str">
        <f>IFERROR(__xludf.DUMMYFUNCTION("""COMPUTED_VALUE"""),"No salary data")</f>
        <v>No salary data</v>
      </c>
      <c r="J356" s="7" t="str">
        <f>IFERROR(__xludf.DUMMYFUNCTION("""COMPUTED_VALUE"""),"Python, SQL, Tableau, Excel, Agile, Scrum")</f>
        <v>Python, SQL, Tableau, Excel, Agile, Scrum</v>
      </c>
      <c r="K356" s="7" t="str">
        <f>IFERROR(__xludf.DUMMYFUNCTION("""COMPUTED_VALUE"""),"No job type data")</f>
        <v>No job type data</v>
      </c>
      <c r="L356" s="7" t="str">
        <f>IFERROR(__xludf.DUMMYFUNCTION("""COMPUTED_VALUE"""),"None")</f>
        <v>None</v>
      </c>
      <c r="M356" s="7"/>
      <c r="N356" s="7"/>
      <c r="O356" s="7"/>
    </row>
    <row r="357">
      <c r="A357" s="29">
        <f>IFERROR(__xludf.DUMMYFUNCTION("""COMPUTED_VALUE"""),353.0)</f>
        <v>353</v>
      </c>
      <c r="B357" s="7" t="str">
        <f>IFERROR(__xludf.DUMMYFUNCTION("""COMPUTED_VALUE"""),"vor 13 Tagen")</f>
        <v>vor 13 Tagen</v>
      </c>
      <c r="C357" s="7" t="str">
        <f>IFERROR(__xludf.DUMMYFUNCTION("""COMPUTED_VALUE"""),"Data Engineer (m/w/d)")</f>
        <v>Data Engineer (m/w/d)</v>
      </c>
      <c r="D357" s="7" t="str">
        <f>IFERROR(__xludf.DUMMYFUNCTION("""COMPUTED_VALUE"""),"Köln")</f>
        <v>Köln</v>
      </c>
      <c r="E357" s="7" t="str">
        <f>IFERROR(__xludf.DUMMYFUNCTION("""COMPUTED_VALUE"""),"taod Consulting GmbH")</f>
        <v>taod Consulting GmbH</v>
      </c>
      <c r="F357" s="7" t="str">
        <f>IFERROR(__xludf.DUMMYFUNCTION("""COMPUTED_VALUE"""),"None")</f>
        <v>None</v>
      </c>
      <c r="G357" s="7" t="str">
        <f>IFERROR(__xludf.DUMMYFUNCTION("""COMPUTED_VALUE"""),"No salary data")</f>
        <v>No salary data</v>
      </c>
      <c r="H357" s="7" t="str">
        <f>IFERROR(__xludf.DUMMYFUNCTION("""COMPUTED_VALUE"""),"No salary data")</f>
        <v>No salary data</v>
      </c>
      <c r="I357" s="7" t="str">
        <f>IFERROR(__xludf.DUMMYFUNCTION("""COMPUTED_VALUE"""),"No salary data")</f>
        <v>No salary data</v>
      </c>
      <c r="J357" s="7" t="str">
        <f>IFERROR(__xludf.DUMMYFUNCTION("""COMPUTED_VALUE"""),"Python, SQL, Agile")</f>
        <v>Python, SQL, Agile</v>
      </c>
      <c r="K357" s="7" t="str">
        <f>IFERROR(__xludf.DUMMYFUNCTION("""COMPUTED_VALUE"""),"No job type data")</f>
        <v>No job type data</v>
      </c>
      <c r="L357" s="7" t="str">
        <f>IFERROR(__xludf.DUMMYFUNCTION("""COMPUTED_VALUE"""),"None")</f>
        <v>None</v>
      </c>
      <c r="M357" s="7"/>
      <c r="N357" s="7"/>
      <c r="O357" s="7"/>
    </row>
    <row r="358">
      <c r="A358" s="29">
        <f>IFERROR(__xludf.DUMMYFUNCTION("""COMPUTED_VALUE"""),354.0)</f>
        <v>354</v>
      </c>
      <c r="B358" s="7" t="str">
        <f>IFERROR(__xludf.DUMMYFUNCTION("""COMPUTED_VALUE"""),"Vor mehr als 30 Tagen")</f>
        <v>Vor mehr als 30 Tagen</v>
      </c>
      <c r="C358" s="7" t="str">
        <f>IFERROR(__xludf.DUMMYFUNCTION("""COMPUTED_VALUE"""),"Data Scientist (m/w/d)")</f>
        <v>Data Scientist (m/w/d)</v>
      </c>
      <c r="D358" s="7" t="str">
        <f>IFERROR(__xludf.DUMMYFUNCTION("""COMPUTED_VALUE"""),"Offenburg")</f>
        <v>Offenburg</v>
      </c>
      <c r="E358" s="7" t="str">
        <f>IFERROR(__xludf.DUMMYFUNCTION("""COMPUTED_VALUE"""),"EDEKA Handelsgesellschaft Südwest mbH")</f>
        <v>EDEKA Handelsgesellschaft Südwest mbH</v>
      </c>
      <c r="F358" s="7" t="str">
        <f>IFERROR(__xludf.DUMMYFUNCTION("""COMPUTED_VALUE"""),"None")</f>
        <v>None</v>
      </c>
      <c r="G358" s="7" t="str">
        <f>IFERROR(__xludf.DUMMYFUNCTION("""COMPUTED_VALUE"""),"No salary data")</f>
        <v>No salary data</v>
      </c>
      <c r="H358" s="7" t="str">
        <f>IFERROR(__xludf.DUMMYFUNCTION("""COMPUTED_VALUE"""),"No salary data")</f>
        <v>No salary data</v>
      </c>
      <c r="I358" s="7" t="str">
        <f>IFERROR(__xludf.DUMMYFUNCTION("""COMPUTED_VALUE"""),"No salary data")</f>
        <v>No salary data</v>
      </c>
      <c r="J358" s="7" t="str">
        <f>IFERROR(__xludf.DUMMYFUNCTION("""COMPUTED_VALUE"""),"Python, SQL, Git")</f>
        <v>Python, SQL, Git</v>
      </c>
      <c r="K358" s="7" t="str">
        <f>IFERROR(__xludf.DUMMYFUNCTION("""COMPUTED_VALUE"""),"No job type data")</f>
        <v>No job type data</v>
      </c>
      <c r="L358" s="7" t="str">
        <f>IFERROR(__xludf.DUMMYFUNCTION("""COMPUTED_VALUE"""),"3,3")</f>
        <v>3,3</v>
      </c>
      <c r="M358" s="7"/>
      <c r="N358" s="7"/>
      <c r="O358" s="7"/>
    </row>
    <row r="359">
      <c r="A359" s="29">
        <f>IFERROR(__xludf.DUMMYFUNCTION("""COMPUTED_VALUE"""),355.0)</f>
        <v>355</v>
      </c>
      <c r="B359" s="7" t="str">
        <f>IFERROR(__xludf.DUMMYFUNCTION("""COMPUTED_VALUE"""),"vor 6 Tagen")</f>
        <v>vor 6 Tagen</v>
      </c>
      <c r="C359" s="7" t="str">
        <f>IFERROR(__xludf.DUMMYFUNCTION("""COMPUTED_VALUE"""),"Data Scientist with Deep Learning proficiency (m/w/d)")</f>
        <v>Data Scientist with Deep Learning proficiency (m/w/d)</v>
      </c>
      <c r="D359" s="7" t="str">
        <f>IFERROR(__xludf.DUMMYFUNCTION("""COMPUTED_VALUE"""),"Berlin-Friedrichshain")</f>
        <v>Berlin-Friedrichshain</v>
      </c>
      <c r="E359" s="7" t="str">
        <f>IFERROR(__xludf.DUMMYFUNCTION("""COMPUTED_VALUE"""),"Enpal GmbH")</f>
        <v>Enpal GmbH</v>
      </c>
      <c r="F359" s="7" t="str">
        <f>IFERROR(__xludf.DUMMYFUNCTION("""COMPUTED_VALUE"""),"None")</f>
        <v>None</v>
      </c>
      <c r="G359" s="7" t="str">
        <f>IFERROR(__xludf.DUMMYFUNCTION("""COMPUTED_VALUE"""),"No salary data")</f>
        <v>No salary data</v>
      </c>
      <c r="H359" s="7" t="str">
        <f>IFERROR(__xludf.DUMMYFUNCTION("""COMPUTED_VALUE"""),"No salary data")</f>
        <v>No salary data</v>
      </c>
      <c r="I359" s="7" t="str">
        <f>IFERROR(__xludf.DUMMYFUNCTION("""COMPUTED_VALUE"""),"No salary data")</f>
        <v>No salary data</v>
      </c>
      <c r="J359" s="7" t="str">
        <f>IFERROR(__xludf.DUMMYFUNCTION("""COMPUTED_VALUE"""),"Python, Machine Learning, Deep Learning, Statistic, Git")</f>
        <v>Python, Machine Learning, Deep Learning, Statistic, Git</v>
      </c>
      <c r="K359" s="7" t="str">
        <f>IFERROR(__xludf.DUMMYFUNCTION("""COMPUTED_VALUE"""),"No job type data")</f>
        <v>No job type data</v>
      </c>
      <c r="L359" s="7" t="str">
        <f>IFERROR(__xludf.DUMMYFUNCTION("""COMPUTED_VALUE"""),"3,7")</f>
        <v>3,7</v>
      </c>
      <c r="M359" s="7"/>
      <c r="N359" s="7"/>
      <c r="O359" s="7"/>
    </row>
    <row r="360">
      <c r="A360" s="29">
        <f>IFERROR(__xludf.DUMMYFUNCTION("""COMPUTED_VALUE"""),356.0)</f>
        <v>356</v>
      </c>
      <c r="B360" s="7" t="str">
        <f>IFERROR(__xludf.DUMMYFUNCTION("""COMPUTED_VALUE"""),"vor 3 Tagen")</f>
        <v>vor 3 Tagen</v>
      </c>
      <c r="C360" s="7" t="str">
        <f>IFERROR(__xludf.DUMMYFUNCTION("""COMPUTED_VALUE"""),"Data Scientist – Ref.Nr. 309")</f>
        <v>Data Scientist – Ref.Nr. 309</v>
      </c>
      <c r="D360" s="7" t="str">
        <f>IFERROR(__xludf.DUMMYFUNCTION("""COMPUTED_VALUE"""),"Heidelberg")</f>
        <v>Heidelberg</v>
      </c>
      <c r="E360" s="7" t="str">
        <f>IFERROR(__xludf.DUMMYFUNCTION("""COMPUTED_VALUE"""),"Max Planck Institute for Astronomy")</f>
        <v>Max Planck Institute for Astronomy</v>
      </c>
      <c r="F360" s="7" t="str">
        <f>IFERROR(__xludf.DUMMYFUNCTION("""COMPUTED_VALUE"""),"None")</f>
        <v>None</v>
      </c>
      <c r="G360" s="7" t="str">
        <f>IFERROR(__xludf.DUMMYFUNCTION("""COMPUTED_VALUE"""),"No salary data")</f>
        <v>No salary data</v>
      </c>
      <c r="H360" s="7" t="str">
        <f>IFERROR(__xludf.DUMMYFUNCTION("""COMPUTED_VALUE"""),"No salary data")</f>
        <v>No salary data</v>
      </c>
      <c r="I360" s="7" t="str">
        <f>IFERROR(__xludf.DUMMYFUNCTION("""COMPUTED_VALUE"""),"No salary data")</f>
        <v>No salary data</v>
      </c>
      <c r="J360" s="7" t="str">
        <f>IFERROR(__xludf.DUMMYFUNCTION("""COMPUTED_VALUE"""),"Python, Machine Learning, Statistic, Git")</f>
        <v>Python, Machine Learning, Statistic, Git</v>
      </c>
      <c r="K360" s="7" t="str">
        <f>IFERROR(__xludf.DUMMYFUNCTION("""COMPUTED_VALUE"""),"Permanent")</f>
        <v>Permanent</v>
      </c>
      <c r="L360" s="7" t="str">
        <f>IFERROR(__xludf.DUMMYFUNCTION("""COMPUTED_VALUE"""),"None")</f>
        <v>None</v>
      </c>
      <c r="M360" s="7"/>
      <c r="N360" s="7"/>
      <c r="O360" s="7"/>
    </row>
    <row r="361">
      <c r="A361" s="29">
        <f>IFERROR(__xludf.DUMMYFUNCTION("""COMPUTED_VALUE"""),357.0)</f>
        <v>357</v>
      </c>
      <c r="B361" s="7" t="str">
        <f>IFERROR(__xludf.DUMMYFUNCTION("""COMPUTED_VALUE"""),"Vor mehr als 30 Tagen")</f>
        <v>Vor mehr als 30 Tagen</v>
      </c>
      <c r="C361" s="7" t="str">
        <f>IFERROR(__xludf.DUMMYFUNCTION("""COMPUTED_VALUE"""),"Business Intelligence Developer (m/w/d)")</f>
        <v>Business Intelligence Developer (m/w/d)</v>
      </c>
      <c r="D361" s="7" t="str">
        <f>IFERROR(__xludf.DUMMYFUNCTION("""COMPUTED_VALUE"""),"München")</f>
        <v>München</v>
      </c>
      <c r="E361" s="7" t="str">
        <f>IFERROR(__xludf.DUMMYFUNCTION("""COMPUTED_VALUE"""),"BNP Paribas")</f>
        <v>BNP Paribas</v>
      </c>
      <c r="F361" s="7" t="str">
        <f>IFERROR(__xludf.DUMMYFUNCTION("""COMPUTED_VALUE"""),"None")</f>
        <v>None</v>
      </c>
      <c r="G361" s="7" t="str">
        <f>IFERROR(__xludf.DUMMYFUNCTION("""COMPUTED_VALUE"""),"No salary data")</f>
        <v>No salary data</v>
      </c>
      <c r="H361" s="7" t="str">
        <f>IFERROR(__xludf.DUMMYFUNCTION("""COMPUTED_VALUE"""),"No salary data")</f>
        <v>No salary data</v>
      </c>
      <c r="I361" s="7" t="str">
        <f>IFERROR(__xludf.DUMMYFUNCTION("""COMPUTED_VALUE"""),"No salary data")</f>
        <v>No salary data</v>
      </c>
      <c r="J361" s="7" t="str">
        <f>IFERROR(__xludf.DUMMYFUNCTION("""COMPUTED_VALUE"""),"SQL, Git")</f>
        <v>SQL, Git</v>
      </c>
      <c r="K361" s="7" t="str">
        <f>IFERROR(__xludf.DUMMYFUNCTION("""COMPUTED_VALUE"""),"No job type data")</f>
        <v>No job type data</v>
      </c>
      <c r="L361" s="7" t="str">
        <f>IFERROR(__xludf.DUMMYFUNCTION("""COMPUTED_VALUE"""),"3,9")</f>
        <v>3,9</v>
      </c>
      <c r="M361" s="7"/>
      <c r="N361" s="7"/>
      <c r="O361" s="7"/>
    </row>
    <row r="362">
      <c r="A362" s="29">
        <f>IFERROR(__xludf.DUMMYFUNCTION("""COMPUTED_VALUE"""),358.0)</f>
        <v>358</v>
      </c>
      <c r="B362" s="7" t="str">
        <f>IFERROR(__xludf.DUMMYFUNCTION("""COMPUTED_VALUE"""),"Vor mehr als 30 Tagen")</f>
        <v>Vor mehr als 30 Tagen</v>
      </c>
      <c r="C362" s="7" t="str">
        <f>IFERROR(__xludf.DUMMYFUNCTION("""COMPUTED_VALUE"""),"Business Intelligence Engineer")</f>
        <v>Business Intelligence Engineer</v>
      </c>
      <c r="D362" s="7" t="str">
        <f>IFERROR(__xludf.DUMMYFUNCTION("""COMPUTED_VALUE"""),"Berlin")</f>
        <v>Berlin</v>
      </c>
      <c r="E362" s="7" t="str">
        <f>IFERROR(__xludf.DUMMYFUNCTION("""COMPUTED_VALUE"""),"Amazon Deutschland Servcs GmbH")</f>
        <v>Amazon Deutschland Servcs GmbH</v>
      </c>
      <c r="F362" s="7" t="str">
        <f>IFERROR(__xludf.DUMMYFUNCTION("""COMPUTED_VALUE"""),"None")</f>
        <v>None</v>
      </c>
      <c r="G362" s="7" t="str">
        <f>IFERROR(__xludf.DUMMYFUNCTION("""COMPUTED_VALUE"""),"No salary data")</f>
        <v>No salary data</v>
      </c>
      <c r="H362" s="7" t="str">
        <f>IFERROR(__xludf.DUMMYFUNCTION("""COMPUTED_VALUE"""),"No salary data")</f>
        <v>No salary data</v>
      </c>
      <c r="I362" s="7" t="str">
        <f>IFERROR(__xludf.DUMMYFUNCTION("""COMPUTED_VALUE"""),"No salary data")</f>
        <v>No salary data</v>
      </c>
      <c r="J362" s="7" t="str">
        <f>IFERROR(__xludf.DUMMYFUNCTION("""COMPUTED_VALUE"""),"Python, SQL, Tableau, Statistic")</f>
        <v>Python, SQL, Tableau, Statistic</v>
      </c>
      <c r="K362" s="7" t="str">
        <f>IFERROR(__xludf.DUMMYFUNCTION("""COMPUTED_VALUE"""),"No job type data")</f>
        <v>No job type data</v>
      </c>
      <c r="L362" s="7" t="str">
        <f>IFERROR(__xludf.DUMMYFUNCTION("""COMPUTED_VALUE"""),"3,6")</f>
        <v>3,6</v>
      </c>
      <c r="M362" s="7"/>
      <c r="N362" s="7"/>
      <c r="O362" s="7"/>
    </row>
    <row r="363">
      <c r="A363" s="29">
        <f>IFERROR(__xludf.DUMMYFUNCTION("""COMPUTED_VALUE"""),359.0)</f>
        <v>359</v>
      </c>
      <c r="B363" s="7" t="str">
        <f>IFERROR(__xludf.DUMMYFUNCTION("""COMPUTED_VALUE"""),"vor 10 Tagen")</f>
        <v>vor 10 Tagen</v>
      </c>
      <c r="C363" s="7" t="str">
        <f>IFERROR(__xludf.DUMMYFUNCTION("""COMPUTED_VALUE"""),"Business Intelligence Manager - EMEA+Latin America (m/f/d)")</f>
        <v>Business Intelligence Manager - EMEA+Latin America (m/f/d)</v>
      </c>
      <c r="D363" s="7" t="str">
        <f>IFERROR(__xludf.DUMMYFUNCTION("""COMPUTED_VALUE"""),"Ratingen")</f>
        <v>Ratingen</v>
      </c>
      <c r="E363" s="7" t="str">
        <f>IFERROR(__xludf.DUMMYFUNCTION("""COMPUTED_VALUE"""),"Johnson Controls")</f>
        <v>Johnson Controls</v>
      </c>
      <c r="F363" s="7" t="str">
        <f>IFERROR(__xludf.DUMMYFUNCTION("""COMPUTED_VALUE"""),"None")</f>
        <v>None</v>
      </c>
      <c r="G363" s="7" t="str">
        <f>IFERROR(__xludf.DUMMYFUNCTION("""COMPUTED_VALUE"""),"No salary data")</f>
        <v>No salary data</v>
      </c>
      <c r="H363" s="7" t="str">
        <f>IFERROR(__xludf.DUMMYFUNCTION("""COMPUTED_VALUE"""),"No salary data")</f>
        <v>No salary data</v>
      </c>
      <c r="I363" s="7" t="str">
        <f>IFERROR(__xludf.DUMMYFUNCTION("""COMPUTED_VALUE"""),"No salary data")</f>
        <v>No salary data</v>
      </c>
      <c r="J363" s="7" t="str">
        <f>IFERROR(__xludf.DUMMYFUNCTION("""COMPUTED_VALUE"""),"Tableau, Excel")</f>
        <v>Tableau, Excel</v>
      </c>
      <c r="K363" s="7" t="str">
        <f>IFERROR(__xludf.DUMMYFUNCTION("""COMPUTED_VALUE"""),"No job type data")</f>
        <v>No job type data</v>
      </c>
      <c r="L363" s="7" t="str">
        <f>IFERROR(__xludf.DUMMYFUNCTION("""COMPUTED_VALUE"""),"3,7")</f>
        <v>3,7</v>
      </c>
      <c r="M363" s="7"/>
      <c r="N363" s="7"/>
      <c r="O363" s="7"/>
    </row>
    <row r="364">
      <c r="A364" s="29">
        <f>IFERROR(__xludf.DUMMYFUNCTION("""COMPUTED_VALUE"""),360.0)</f>
        <v>360</v>
      </c>
      <c r="B364" s="7" t="str">
        <f>IFERROR(__xludf.DUMMYFUNCTION("""COMPUTED_VALUE"""),"vor 18 Tagen")</f>
        <v>vor 18 Tagen</v>
      </c>
      <c r="C364" s="7" t="str">
        <f>IFERROR(__xludf.DUMMYFUNCTION("""COMPUTED_VALUE"""),"Business Intelligence Analyst (m/w/d)")</f>
        <v>Business Intelligence Analyst (m/w/d)</v>
      </c>
      <c r="D364" s="7" t="str">
        <f>IFERROR(__xludf.DUMMYFUNCTION("""COMPUTED_VALUE"""),"Erlangen")</f>
        <v>Erlangen</v>
      </c>
      <c r="E364" s="30" t="str">
        <f>IFERROR(__xludf.DUMMYFUNCTION("""COMPUTED_VALUE"""),"Thomann.io")</f>
        <v>Thomann.io</v>
      </c>
      <c r="F364" s="7" t="str">
        <f>IFERROR(__xludf.DUMMYFUNCTION("""COMPUTED_VALUE"""),"None")</f>
        <v>None</v>
      </c>
      <c r="G364" s="7" t="str">
        <f>IFERROR(__xludf.DUMMYFUNCTION("""COMPUTED_VALUE"""),"No salary data")</f>
        <v>No salary data</v>
      </c>
      <c r="H364" s="7" t="str">
        <f>IFERROR(__xludf.DUMMYFUNCTION("""COMPUTED_VALUE"""),"No salary data")</f>
        <v>No salary data</v>
      </c>
      <c r="I364" s="7" t="str">
        <f>IFERROR(__xludf.DUMMYFUNCTION("""COMPUTED_VALUE"""),"No salary data")</f>
        <v>No salary data</v>
      </c>
      <c r="J364" s="7" t="str">
        <f>IFERROR(__xludf.DUMMYFUNCTION("""COMPUTED_VALUE"""),"SQL")</f>
        <v>SQL</v>
      </c>
      <c r="K364" s="7" t="str">
        <f>IFERROR(__xludf.DUMMYFUNCTION("""COMPUTED_VALUE"""),"No job type data")</f>
        <v>No job type data</v>
      </c>
      <c r="L364" s="7" t="str">
        <f>IFERROR(__xludf.DUMMYFUNCTION("""COMPUTED_VALUE"""),"None")</f>
        <v>None</v>
      </c>
      <c r="M364" s="7"/>
      <c r="N364" s="7"/>
      <c r="O364" s="7"/>
    </row>
    <row r="365">
      <c r="A365" s="29">
        <f>IFERROR(__xludf.DUMMYFUNCTION("""COMPUTED_VALUE"""),361.0)</f>
        <v>361</v>
      </c>
      <c r="B365" s="7" t="str">
        <f>IFERROR(__xludf.DUMMYFUNCTION("""COMPUTED_VALUE"""),"vor 17 Tagen")</f>
        <v>vor 17 Tagen</v>
      </c>
      <c r="C365" s="7" t="str">
        <f>IFERROR(__xludf.DUMMYFUNCTION("""COMPUTED_VALUE"""),"Data Scientist (w/m/d) Künstliche Intelligenz / Machine Lear...")</f>
        <v>Data Scientist (w/m/d) Künstliche Intelligenz / Machine Lear...</v>
      </c>
      <c r="D365" s="7" t="str">
        <f>IFERROR(__xludf.DUMMYFUNCTION("""COMPUTED_VALUE"""),"Oldenburg")</f>
        <v>Oldenburg</v>
      </c>
      <c r="E365" s="7" t="str">
        <f>IFERROR(__xludf.DUMMYFUNCTION("""COMPUTED_VALUE"""),"BTC AG")</f>
        <v>BTC AG</v>
      </c>
      <c r="F365" s="7" t="str">
        <f>IFERROR(__xludf.DUMMYFUNCTION("""COMPUTED_VALUE"""),"None")</f>
        <v>None</v>
      </c>
      <c r="G365" s="7" t="str">
        <f>IFERROR(__xludf.DUMMYFUNCTION("""COMPUTED_VALUE"""),"No salary data")</f>
        <v>No salary data</v>
      </c>
      <c r="H365" s="7" t="str">
        <f>IFERROR(__xludf.DUMMYFUNCTION("""COMPUTED_VALUE"""),"No salary data")</f>
        <v>No salary data</v>
      </c>
      <c r="I365" s="7" t="str">
        <f>IFERROR(__xludf.DUMMYFUNCTION("""COMPUTED_VALUE"""),"No salary data")</f>
        <v>No salary data</v>
      </c>
      <c r="J365" s="7" t="str">
        <f>IFERROR(__xludf.DUMMYFUNCTION("""COMPUTED_VALUE"""),"Python, Machine Learning")</f>
        <v>Python, Machine Learning</v>
      </c>
      <c r="K365" s="7" t="str">
        <f>IFERROR(__xludf.DUMMYFUNCTION("""COMPUTED_VALUE"""),"No job type data")</f>
        <v>No job type data</v>
      </c>
      <c r="L365" s="7" t="str">
        <f>IFERROR(__xludf.DUMMYFUNCTION("""COMPUTED_VALUE"""),"3,0")</f>
        <v>3,0</v>
      </c>
      <c r="M365" s="7"/>
      <c r="N365" s="7"/>
      <c r="O365" s="7"/>
    </row>
    <row r="366">
      <c r="A366" s="29">
        <f>IFERROR(__xludf.DUMMYFUNCTION("""COMPUTED_VALUE"""),362.0)</f>
        <v>362</v>
      </c>
      <c r="B366" s="7" t="str">
        <f>IFERROR(__xludf.DUMMYFUNCTION("""COMPUTED_VALUE"""),"Vor mehr als 30 Tagen")</f>
        <v>Vor mehr als 30 Tagen</v>
      </c>
      <c r="C366" s="7" t="str">
        <f>IFERROR(__xludf.DUMMYFUNCTION("""COMPUTED_VALUE"""),"Product Owner Data Analytics (m/w/d)")</f>
        <v>Product Owner Data Analytics (m/w/d)</v>
      </c>
      <c r="D366" s="7" t="str">
        <f>IFERROR(__xludf.DUMMYFUNCTION("""COMPUTED_VALUE"""),"Berlin-Charlottenburg")</f>
        <v>Berlin-Charlottenburg</v>
      </c>
      <c r="E366" s="7" t="str">
        <f>IFERROR(__xludf.DUMMYFUNCTION("""COMPUTED_VALUE"""),"Flaconi GmbH")</f>
        <v>Flaconi GmbH</v>
      </c>
      <c r="F366" s="7" t="str">
        <f>IFERROR(__xludf.DUMMYFUNCTION("""COMPUTED_VALUE"""),"None")</f>
        <v>None</v>
      </c>
      <c r="G366" s="7" t="str">
        <f>IFERROR(__xludf.DUMMYFUNCTION("""COMPUTED_VALUE"""),"No salary data")</f>
        <v>No salary data</v>
      </c>
      <c r="H366" s="7" t="str">
        <f>IFERROR(__xludf.DUMMYFUNCTION("""COMPUTED_VALUE"""),"No salary data")</f>
        <v>No salary data</v>
      </c>
      <c r="I366" s="7" t="str">
        <f>IFERROR(__xludf.DUMMYFUNCTION("""COMPUTED_VALUE"""),"No salary data")</f>
        <v>No salary data</v>
      </c>
      <c r="J366" s="7" t="str">
        <f>IFERROR(__xludf.DUMMYFUNCTION("""COMPUTED_VALUE"""),"Python, SQL, Tableau, Excel, Agile")</f>
        <v>Python, SQL, Tableau, Excel, Agile</v>
      </c>
      <c r="K366" s="7" t="str">
        <f>IFERROR(__xludf.DUMMYFUNCTION("""COMPUTED_VALUE"""),"No job type data")</f>
        <v>No job type data</v>
      </c>
      <c r="L366" s="7" t="str">
        <f>IFERROR(__xludf.DUMMYFUNCTION("""COMPUTED_VALUE"""),"3,9")</f>
        <v>3,9</v>
      </c>
      <c r="M366" s="7"/>
      <c r="N366" s="7"/>
      <c r="O366" s="7"/>
    </row>
    <row r="367">
      <c r="A367" s="29">
        <f>IFERROR(__xludf.DUMMYFUNCTION("""COMPUTED_VALUE"""),363.0)</f>
        <v>363</v>
      </c>
      <c r="B367" s="7" t="str">
        <f>IFERROR(__xludf.DUMMYFUNCTION("""COMPUTED_VALUE"""),"Vor mehr als 30 Tagen")</f>
        <v>Vor mehr als 30 Tagen</v>
      </c>
      <c r="C367" s="7" t="str">
        <f>IFERROR(__xludf.DUMMYFUNCTION("""COMPUTED_VALUE"""),"Data Engineer (m/w/d)")</f>
        <v>Data Engineer (m/w/d)</v>
      </c>
      <c r="D367" s="7" t="str">
        <f>IFERROR(__xludf.DUMMYFUNCTION("""COMPUTED_VALUE"""),"Dortmund")</f>
        <v>Dortmund</v>
      </c>
      <c r="E367" s="7" t="str">
        <f>IFERROR(__xludf.DUMMYFUNCTION("""COMPUTED_VALUE"""),"QuinScape GmbH")</f>
        <v>QuinScape GmbH</v>
      </c>
      <c r="F367" s="7" t="str">
        <f>IFERROR(__xludf.DUMMYFUNCTION("""COMPUTED_VALUE"""),"None")</f>
        <v>None</v>
      </c>
      <c r="G367" s="7" t="str">
        <f>IFERROR(__xludf.DUMMYFUNCTION("""COMPUTED_VALUE"""),"No salary data")</f>
        <v>No salary data</v>
      </c>
      <c r="H367" s="7" t="str">
        <f>IFERROR(__xludf.DUMMYFUNCTION("""COMPUTED_VALUE"""),"No salary data")</f>
        <v>No salary data</v>
      </c>
      <c r="I367" s="7" t="str">
        <f>IFERROR(__xludf.DUMMYFUNCTION("""COMPUTED_VALUE"""),"No salary data")</f>
        <v>No salary data</v>
      </c>
      <c r="J367" s="7" t="str">
        <f>IFERROR(__xludf.DUMMYFUNCTION("""COMPUTED_VALUE"""),"Python, SQL, Git, Agile")</f>
        <v>Python, SQL, Git, Agile</v>
      </c>
      <c r="K367" s="7" t="str">
        <f>IFERROR(__xludf.DUMMYFUNCTION("""COMPUTED_VALUE"""),"No job type data")</f>
        <v>No job type data</v>
      </c>
      <c r="L367" s="7" t="str">
        <f>IFERROR(__xludf.DUMMYFUNCTION("""COMPUTED_VALUE"""),"None")</f>
        <v>None</v>
      </c>
      <c r="M367" s="7"/>
      <c r="N367" s="7"/>
      <c r="O367" s="7"/>
    </row>
    <row r="368">
      <c r="A368" s="29">
        <f>IFERROR(__xludf.DUMMYFUNCTION("""COMPUTED_VALUE"""),364.0)</f>
        <v>364</v>
      </c>
      <c r="B368" s="7" t="str">
        <f>IFERROR(__xludf.DUMMYFUNCTION("""COMPUTED_VALUE"""),"Vor mehr als 30 Tagen")</f>
        <v>Vor mehr als 30 Tagen</v>
      </c>
      <c r="C368" s="7" t="str">
        <f>IFERROR(__xludf.DUMMYFUNCTION("""COMPUTED_VALUE"""),"Data Warehouse Developer (m/w/d)")</f>
        <v>Data Warehouse Developer (m/w/d)</v>
      </c>
      <c r="D368" s="7" t="str">
        <f>IFERROR(__xludf.DUMMYFUNCTION("""COMPUTED_VALUE"""),"Ennepetal")</f>
        <v>Ennepetal</v>
      </c>
      <c r="E368" s="7" t="str">
        <f>IFERROR(__xludf.DUMMYFUNCTION("""COMPUTED_VALUE"""),"PAKi Logistics GmbH")</f>
        <v>PAKi Logistics GmbH</v>
      </c>
      <c r="F368" s="7" t="str">
        <f>IFERROR(__xludf.DUMMYFUNCTION("""COMPUTED_VALUE"""),"None")</f>
        <v>None</v>
      </c>
      <c r="G368" s="7" t="str">
        <f>IFERROR(__xludf.DUMMYFUNCTION("""COMPUTED_VALUE"""),"No salary data")</f>
        <v>No salary data</v>
      </c>
      <c r="H368" s="7" t="str">
        <f>IFERROR(__xludf.DUMMYFUNCTION("""COMPUTED_VALUE"""),"No salary data")</f>
        <v>No salary data</v>
      </c>
      <c r="I368" s="7" t="str">
        <f>IFERROR(__xludf.DUMMYFUNCTION("""COMPUTED_VALUE"""),"No salary data")</f>
        <v>No salary data</v>
      </c>
      <c r="J368" s="7" t="str">
        <f>IFERROR(__xludf.DUMMYFUNCTION("""COMPUTED_VALUE"""),"SQL, Git")</f>
        <v>SQL, Git</v>
      </c>
      <c r="K368" s="7" t="str">
        <f>IFERROR(__xludf.DUMMYFUNCTION("""COMPUTED_VALUE"""),"No job type data")</f>
        <v>No job type data</v>
      </c>
      <c r="L368" s="7" t="str">
        <f>IFERROR(__xludf.DUMMYFUNCTION("""COMPUTED_VALUE"""),"None")</f>
        <v>None</v>
      </c>
      <c r="M368" s="7"/>
      <c r="N368" s="7"/>
      <c r="O368" s="7"/>
    </row>
    <row r="369">
      <c r="A369" s="29">
        <f>IFERROR(__xludf.DUMMYFUNCTION("""COMPUTED_VALUE"""),365.0)</f>
        <v>365</v>
      </c>
      <c r="B369" s="7" t="str">
        <f>IFERROR(__xludf.DUMMYFUNCTION("""COMPUTED_VALUE"""),"Vor mehr als 30 Tagen")</f>
        <v>Vor mehr als 30 Tagen</v>
      </c>
      <c r="C369" s="7" t="str">
        <f>IFERROR(__xludf.DUMMYFUNCTION("""COMPUTED_VALUE"""),"Abschlussarbeit - Fertigung „Data Analytics“")</f>
        <v>Abschlussarbeit - Fertigung „Data Analytics“</v>
      </c>
      <c r="D369" s="7" t="str">
        <f>IFERROR(__xludf.DUMMYFUNCTION("""COMPUTED_VALUE"""),"Hannover")</f>
        <v>Hannover</v>
      </c>
      <c r="E369" s="7" t="str">
        <f>IFERROR(__xludf.DUMMYFUNCTION("""COMPUTED_VALUE"""),"Continental AG")</f>
        <v>Continental AG</v>
      </c>
      <c r="F369" s="7" t="str">
        <f>IFERROR(__xludf.DUMMYFUNCTION("""COMPUTED_VALUE"""),"None")</f>
        <v>None</v>
      </c>
      <c r="G369" s="7" t="str">
        <f>IFERROR(__xludf.DUMMYFUNCTION("""COMPUTED_VALUE"""),"No salary data")</f>
        <v>No salary data</v>
      </c>
      <c r="H369" s="7" t="str">
        <f>IFERROR(__xludf.DUMMYFUNCTION("""COMPUTED_VALUE"""),"No salary data")</f>
        <v>No salary data</v>
      </c>
      <c r="I369" s="7" t="str">
        <f>IFERROR(__xludf.DUMMYFUNCTION("""COMPUTED_VALUE"""),"No salary data")</f>
        <v>No salary data</v>
      </c>
      <c r="J369" s="7" t="str">
        <f>IFERROR(__xludf.DUMMYFUNCTION("""COMPUTED_VALUE"""),"Python, Tableau, Excel, Git")</f>
        <v>Python, Tableau, Excel, Git</v>
      </c>
      <c r="K369" s="7" t="str">
        <f>IFERROR(__xludf.DUMMYFUNCTION("""COMPUTED_VALUE"""),"No job type data")</f>
        <v>No job type data</v>
      </c>
      <c r="L369" s="7" t="str">
        <f>IFERROR(__xludf.DUMMYFUNCTION("""COMPUTED_VALUE"""),"4,0")</f>
        <v>4,0</v>
      </c>
      <c r="M369" s="7"/>
      <c r="N369" s="7"/>
      <c r="O369" s="7"/>
    </row>
    <row r="370">
      <c r="A370" s="29">
        <f>IFERROR(__xludf.DUMMYFUNCTION("""COMPUTED_VALUE"""),366.0)</f>
        <v>366</v>
      </c>
      <c r="B370" s="7" t="str">
        <f>IFERROR(__xludf.DUMMYFUNCTION("""COMPUTED_VALUE"""),"Vor mehr als 30 Tagen")</f>
        <v>Vor mehr als 30 Tagen</v>
      </c>
      <c r="C370" s="7" t="str">
        <f>IFERROR(__xludf.DUMMYFUNCTION("""COMPUTED_VALUE"""),"Consultant / Developer Analytics, Data Sience, BI")</f>
        <v>Consultant / Developer Analytics, Data Sience, BI</v>
      </c>
      <c r="D370" s="7" t="str">
        <f>IFERROR(__xludf.DUMMYFUNCTION("""COMPUTED_VALUE"""),"Eschborn")</f>
        <v>Eschborn</v>
      </c>
      <c r="E370" s="7" t="str">
        <f>IFERROR(__xludf.DUMMYFUNCTION("""COMPUTED_VALUE"""),"HR Corner &amp; Partner Personalberatung")</f>
        <v>HR Corner &amp; Partner Personalberatung</v>
      </c>
      <c r="F370" s="7" t="str">
        <f>IFERROR(__xludf.DUMMYFUNCTION("""COMPUTED_VALUE"""),"None")</f>
        <v>None</v>
      </c>
      <c r="G370" s="7" t="str">
        <f>IFERROR(__xludf.DUMMYFUNCTION("""COMPUTED_VALUE"""),"No salary data")</f>
        <v>No salary data</v>
      </c>
      <c r="H370" s="7" t="str">
        <f>IFERROR(__xludf.DUMMYFUNCTION("""COMPUTED_VALUE"""),"No salary data")</f>
        <v>No salary data</v>
      </c>
      <c r="I370" s="7" t="str">
        <f>IFERROR(__xludf.DUMMYFUNCTION("""COMPUTED_VALUE"""),"No salary data")</f>
        <v>No salary data</v>
      </c>
      <c r="J370" s="7" t="str">
        <f>IFERROR(__xludf.DUMMYFUNCTION("""COMPUTED_VALUE"""),"Python, SQL")</f>
        <v>Python, SQL</v>
      </c>
      <c r="K370" s="7" t="str">
        <f>IFERROR(__xludf.DUMMYFUNCTION("""COMPUTED_VALUE"""),"Permanent")</f>
        <v>Permanent</v>
      </c>
      <c r="L370" s="7" t="str">
        <f>IFERROR(__xludf.DUMMYFUNCTION("""COMPUTED_VALUE"""),"None")</f>
        <v>None</v>
      </c>
      <c r="M370" s="7"/>
      <c r="N370" s="7"/>
      <c r="O370" s="7"/>
    </row>
    <row r="371">
      <c r="A371" s="29">
        <f>IFERROR(__xludf.DUMMYFUNCTION("""COMPUTED_VALUE"""),367.0)</f>
        <v>367</v>
      </c>
      <c r="B371" s="7" t="str">
        <f>IFERROR(__xludf.DUMMYFUNCTION("""COMPUTED_VALUE"""),"Vor mehr als 30 Tagen")</f>
        <v>Vor mehr als 30 Tagen</v>
      </c>
      <c r="C371" s="7" t="str">
        <f>IFERROR(__xludf.DUMMYFUNCTION("""COMPUTED_VALUE"""),"Data Scientist Online Analytics")</f>
        <v>Data Scientist Online Analytics</v>
      </c>
      <c r="D371" s="7" t="str">
        <f>IFERROR(__xludf.DUMMYFUNCTION("""COMPUTED_VALUE"""),"Essen")</f>
        <v>Essen</v>
      </c>
      <c r="E371" s="7" t="str">
        <f>IFERROR(__xludf.DUMMYFUNCTION("""COMPUTED_VALUE"""),"Digitaltreiber UG")</f>
        <v>Digitaltreiber UG</v>
      </c>
      <c r="F371" s="7" t="str">
        <f>IFERROR(__xludf.DUMMYFUNCTION("""COMPUTED_VALUE"""),"None")</f>
        <v>None</v>
      </c>
      <c r="G371" s="7" t="str">
        <f>IFERROR(__xludf.DUMMYFUNCTION("""COMPUTED_VALUE"""),"No salary data")</f>
        <v>No salary data</v>
      </c>
      <c r="H371" s="7" t="str">
        <f>IFERROR(__xludf.DUMMYFUNCTION("""COMPUTED_VALUE"""),"No salary data")</f>
        <v>No salary data</v>
      </c>
      <c r="I371" s="7" t="str">
        <f>IFERROR(__xludf.DUMMYFUNCTION("""COMPUTED_VALUE"""),"No salary data")</f>
        <v>No salary data</v>
      </c>
      <c r="J371" s="7" t="str">
        <f>IFERROR(__xludf.DUMMYFUNCTION("""COMPUTED_VALUE"""),"Git, Agile")</f>
        <v>Git, Agile</v>
      </c>
      <c r="K371" s="7" t="str">
        <f>IFERROR(__xludf.DUMMYFUNCTION("""COMPUTED_VALUE"""),"No job type data")</f>
        <v>No job type data</v>
      </c>
      <c r="L371" s="7" t="str">
        <f>IFERROR(__xludf.DUMMYFUNCTION("""COMPUTED_VALUE"""),"None")</f>
        <v>None</v>
      </c>
      <c r="M371" s="7"/>
      <c r="N371" s="7"/>
      <c r="O371" s="7"/>
    </row>
    <row r="372">
      <c r="A372" s="29">
        <f>IFERROR(__xludf.DUMMYFUNCTION("""COMPUTED_VALUE"""),368.0)</f>
        <v>368</v>
      </c>
      <c r="B372" s="7" t="str">
        <f>IFERROR(__xludf.DUMMYFUNCTION("""COMPUTED_VALUE"""),"vor 2 Tagen")</f>
        <v>vor 2 Tagen</v>
      </c>
      <c r="C372" s="7" t="str">
        <f>IFERROR(__xludf.DUMMYFUNCTION("""COMPUTED_VALUE"""),"Solution Engineer Data (m/w/d)")</f>
        <v>Solution Engineer Data (m/w/d)</v>
      </c>
      <c r="D372" s="7" t="str">
        <f>IFERROR(__xludf.DUMMYFUNCTION("""COMPUTED_VALUE"""),"München")</f>
        <v>München</v>
      </c>
      <c r="E372" s="7" t="str">
        <f>IFERROR(__xludf.DUMMYFUNCTION("""COMPUTED_VALUE"""),"SIMunich GmbH")</f>
        <v>SIMunich GmbH</v>
      </c>
      <c r="F372" s="7" t="str">
        <f>IFERROR(__xludf.DUMMYFUNCTION("""COMPUTED_VALUE"""),"None")</f>
        <v>None</v>
      </c>
      <c r="G372" s="7" t="str">
        <f>IFERROR(__xludf.DUMMYFUNCTION("""COMPUTED_VALUE"""),"No salary data")</f>
        <v>No salary data</v>
      </c>
      <c r="H372" s="7" t="str">
        <f>IFERROR(__xludf.DUMMYFUNCTION("""COMPUTED_VALUE"""),"No salary data")</f>
        <v>No salary data</v>
      </c>
      <c r="I372" s="7" t="str">
        <f>IFERROR(__xludf.DUMMYFUNCTION("""COMPUTED_VALUE"""),"No salary data")</f>
        <v>No salary data</v>
      </c>
      <c r="J372" s="7" t="str">
        <f>IFERROR(__xludf.DUMMYFUNCTION("""COMPUTED_VALUE"""),"Python, SQL, Agile")</f>
        <v>Python, SQL, Agile</v>
      </c>
      <c r="K372" s="7" t="str">
        <f>IFERROR(__xludf.DUMMYFUNCTION("""COMPUTED_VALUE"""),"No job type data")</f>
        <v>No job type data</v>
      </c>
      <c r="L372" s="7" t="str">
        <f>IFERROR(__xludf.DUMMYFUNCTION("""COMPUTED_VALUE"""),"None")</f>
        <v>None</v>
      </c>
      <c r="M372" s="7"/>
      <c r="N372" s="7"/>
      <c r="O372" s="7"/>
    </row>
    <row r="373">
      <c r="A373" s="29">
        <f>IFERROR(__xludf.DUMMYFUNCTION("""COMPUTED_VALUE"""),369.0)</f>
        <v>369</v>
      </c>
      <c r="B373" s="7" t="str">
        <f>IFERROR(__xludf.DUMMYFUNCTION("""COMPUTED_VALUE"""),"Vor mehr als 30 Tagen")</f>
        <v>Vor mehr als 30 Tagen</v>
      </c>
      <c r="C373" s="7" t="str">
        <f>IFERROR(__xludf.DUMMYFUNCTION("""COMPUTED_VALUE"""),"Data Scientist Supply Chain Management (m/w/x)")</f>
        <v>Data Scientist Supply Chain Management (m/w/x)</v>
      </c>
      <c r="D373" s="7" t="str">
        <f>IFERROR(__xludf.DUMMYFUNCTION("""COMPUTED_VALUE"""),"Mülheim an der Ruhr")</f>
        <v>Mülheim an der Ruhr</v>
      </c>
      <c r="E373" s="7" t="str">
        <f>IFERROR(__xludf.DUMMYFUNCTION("""COMPUTED_VALUE"""),"ALDI SÜD")</f>
        <v>ALDI SÜD</v>
      </c>
      <c r="F373" s="7" t="str">
        <f>IFERROR(__xludf.DUMMYFUNCTION("""COMPUTED_VALUE"""),"None")</f>
        <v>None</v>
      </c>
      <c r="G373" s="7" t="str">
        <f>IFERROR(__xludf.DUMMYFUNCTION("""COMPUTED_VALUE"""),"No salary data")</f>
        <v>No salary data</v>
      </c>
      <c r="H373" s="7" t="str">
        <f>IFERROR(__xludf.DUMMYFUNCTION("""COMPUTED_VALUE"""),"No salary data")</f>
        <v>No salary data</v>
      </c>
      <c r="I373" s="7" t="str">
        <f>IFERROR(__xludf.DUMMYFUNCTION("""COMPUTED_VALUE"""),"No salary data")</f>
        <v>No salary data</v>
      </c>
      <c r="J373" s="7" t="str">
        <f>IFERROR(__xludf.DUMMYFUNCTION("""COMPUTED_VALUE"""),"Python, SQL, Excel")</f>
        <v>Python, SQL, Excel</v>
      </c>
      <c r="K373" s="7" t="str">
        <f>IFERROR(__xludf.DUMMYFUNCTION("""COMPUTED_VALUE"""),"No job type data")</f>
        <v>No job type data</v>
      </c>
      <c r="L373" s="7" t="str">
        <f>IFERROR(__xludf.DUMMYFUNCTION("""COMPUTED_VALUE"""),"3,4")</f>
        <v>3,4</v>
      </c>
      <c r="M373" s="7"/>
      <c r="N373" s="7"/>
      <c r="O373" s="7"/>
    </row>
    <row r="374">
      <c r="A374" s="29">
        <f>IFERROR(__xludf.DUMMYFUNCTION("""COMPUTED_VALUE"""),370.0)</f>
        <v>370</v>
      </c>
      <c r="B374" s="7" t="str">
        <f>IFERROR(__xludf.DUMMYFUNCTION("""COMPUTED_VALUE"""),"Vor mehr als 30 Tagen")</f>
        <v>Vor mehr als 30 Tagen</v>
      </c>
      <c r="C374" s="7" t="str">
        <f>IFERROR(__xludf.DUMMYFUNCTION("""COMPUTED_VALUE"""),"DATA SCIENTIST")</f>
        <v>DATA SCIENTIST</v>
      </c>
      <c r="D374" s="7" t="str">
        <f>IFERROR(__xludf.DUMMYFUNCTION("""COMPUTED_VALUE"""),"Deutschland")</f>
        <v>Deutschland</v>
      </c>
      <c r="E374" s="7" t="str">
        <f>IFERROR(__xludf.DUMMYFUNCTION("""COMPUTED_VALUE"""),"Vilua Arvato CRM Healthcare GmbH")</f>
        <v>Vilua Arvato CRM Healthcare GmbH</v>
      </c>
      <c r="F374" s="7" t="str">
        <f>IFERROR(__xludf.DUMMYFUNCTION("""COMPUTED_VALUE"""),"None")</f>
        <v>None</v>
      </c>
      <c r="G374" s="7" t="str">
        <f>IFERROR(__xludf.DUMMYFUNCTION("""COMPUTED_VALUE"""),"No salary data")</f>
        <v>No salary data</v>
      </c>
      <c r="H374" s="7" t="str">
        <f>IFERROR(__xludf.DUMMYFUNCTION("""COMPUTED_VALUE"""),"No salary data")</f>
        <v>No salary data</v>
      </c>
      <c r="I374" s="7" t="str">
        <f>IFERROR(__xludf.DUMMYFUNCTION("""COMPUTED_VALUE"""),"No salary data")</f>
        <v>No salary data</v>
      </c>
      <c r="J374" s="7" t="str">
        <f>IFERROR(__xludf.DUMMYFUNCTION("""COMPUTED_VALUE"""),"Python, SQL, Machine Learning")</f>
        <v>Python, SQL, Machine Learning</v>
      </c>
      <c r="K374" s="7" t="str">
        <f>IFERROR(__xludf.DUMMYFUNCTION("""COMPUTED_VALUE"""),"No job type data")</f>
        <v>No job type data</v>
      </c>
      <c r="L374" s="7" t="str">
        <f>IFERROR(__xludf.DUMMYFUNCTION("""COMPUTED_VALUE"""),"None")</f>
        <v>None</v>
      </c>
      <c r="M374" s="7"/>
      <c r="N374" s="7"/>
      <c r="O374" s="7"/>
    </row>
    <row r="375">
      <c r="A375" s="29">
        <f>IFERROR(__xludf.DUMMYFUNCTION("""COMPUTED_VALUE"""),371.0)</f>
        <v>371</v>
      </c>
      <c r="B375" s="7" t="str">
        <f>IFERROR(__xludf.DUMMYFUNCTION("""COMPUTED_VALUE"""),"vor 14 Tagen")</f>
        <v>vor 14 Tagen</v>
      </c>
      <c r="C375" s="7" t="str">
        <f>IFERROR(__xludf.DUMMYFUNCTION("""COMPUTED_VALUE"""),"Consultant in Data Analytics &amp; Forensics (w/m/d)")</f>
        <v>Consultant in Data Analytics &amp; Forensics (w/m/d)</v>
      </c>
      <c r="D375" s="7" t="str">
        <f>IFERROR(__xludf.DUMMYFUNCTION("""COMPUTED_VALUE"""),"Stuttgart")</f>
        <v>Stuttgart</v>
      </c>
      <c r="E375" s="7" t="str">
        <f>IFERROR(__xludf.DUMMYFUNCTION("""COMPUTED_VALUE"""),"FERNAO Networks Holding GmbH")</f>
        <v>FERNAO Networks Holding GmbH</v>
      </c>
      <c r="F375" s="7" t="str">
        <f>IFERROR(__xludf.DUMMYFUNCTION("""COMPUTED_VALUE"""),"None")</f>
        <v>None</v>
      </c>
      <c r="G375" s="7" t="str">
        <f>IFERROR(__xludf.DUMMYFUNCTION("""COMPUTED_VALUE"""),"No salary data")</f>
        <v>No salary data</v>
      </c>
      <c r="H375" s="7" t="str">
        <f>IFERROR(__xludf.DUMMYFUNCTION("""COMPUTED_VALUE"""),"No salary data")</f>
        <v>No salary data</v>
      </c>
      <c r="I375" s="7" t="str">
        <f>IFERROR(__xludf.DUMMYFUNCTION("""COMPUTED_VALUE"""),"No salary data")</f>
        <v>No salary data</v>
      </c>
      <c r="J375" s="7" t="str">
        <f>IFERROR(__xludf.DUMMYFUNCTION("""COMPUTED_VALUE"""),"Python, Git, Linux")</f>
        <v>Python, Git, Linux</v>
      </c>
      <c r="K375" s="7" t="str">
        <f>IFERROR(__xludf.DUMMYFUNCTION("""COMPUTED_VALUE"""),"Full-Time")</f>
        <v>Full-Time</v>
      </c>
      <c r="L375" s="7" t="str">
        <f>IFERROR(__xludf.DUMMYFUNCTION("""COMPUTED_VALUE"""),"None")</f>
        <v>None</v>
      </c>
      <c r="M375" s="7"/>
      <c r="N375" s="7"/>
      <c r="O375" s="7"/>
    </row>
    <row r="376">
      <c r="A376" s="29">
        <f>IFERROR(__xludf.DUMMYFUNCTION("""COMPUTED_VALUE"""),372.0)</f>
        <v>372</v>
      </c>
      <c r="B376" s="7" t="str">
        <f>IFERROR(__xludf.DUMMYFUNCTION("""COMPUTED_VALUE"""),"vor 24 Tagen")</f>
        <v>vor 24 Tagen</v>
      </c>
      <c r="C376" s="7" t="str">
        <f>IFERROR(__xludf.DUMMYFUNCTION("""COMPUTED_VALUE"""),"Data Engineer (Metrics)")</f>
        <v>Data Engineer (Metrics)</v>
      </c>
      <c r="D376" s="7" t="str">
        <f>IFERROR(__xludf.DUMMYFUNCTION("""COMPUTED_VALUE"""),"Berlin")</f>
        <v>Berlin</v>
      </c>
      <c r="E376" s="7" t="str">
        <f>IFERROR(__xludf.DUMMYFUNCTION("""COMPUTED_VALUE"""),"TMP Worldwide")</f>
        <v>TMP Worldwide</v>
      </c>
      <c r="F376" s="7" t="str">
        <f>IFERROR(__xludf.DUMMYFUNCTION("""COMPUTED_VALUE"""),"None")</f>
        <v>None</v>
      </c>
      <c r="G376" s="7" t="str">
        <f>IFERROR(__xludf.DUMMYFUNCTION("""COMPUTED_VALUE"""),"No salary data")</f>
        <v>No salary data</v>
      </c>
      <c r="H376" s="7" t="str">
        <f>IFERROR(__xludf.DUMMYFUNCTION("""COMPUTED_VALUE"""),"No salary data")</f>
        <v>No salary data</v>
      </c>
      <c r="I376" s="7" t="str">
        <f>IFERROR(__xludf.DUMMYFUNCTION("""COMPUTED_VALUE"""),"No salary data")</f>
        <v>No salary data</v>
      </c>
      <c r="J376" s="7"/>
      <c r="K376" s="7" t="str">
        <f>IFERROR(__xludf.DUMMYFUNCTION("""COMPUTED_VALUE"""),"No job type data")</f>
        <v>No job type data</v>
      </c>
      <c r="L376" s="7" t="str">
        <f>IFERROR(__xludf.DUMMYFUNCTION("""COMPUTED_VALUE"""),"None")</f>
        <v>None</v>
      </c>
      <c r="M376" s="7"/>
      <c r="N376" s="7"/>
      <c r="O376" s="7"/>
    </row>
    <row r="377">
      <c r="A377" s="29">
        <f>IFERROR(__xludf.DUMMYFUNCTION("""COMPUTED_VALUE"""),373.0)</f>
        <v>373</v>
      </c>
      <c r="B377" s="7" t="str">
        <f>IFERROR(__xludf.DUMMYFUNCTION("""COMPUTED_VALUE"""),"vor 10 Tagen")</f>
        <v>vor 10 Tagen</v>
      </c>
      <c r="C377" s="7" t="str">
        <f>IFERROR(__xludf.DUMMYFUNCTION("""COMPUTED_VALUE"""),"Junior Analyst, Professional Services (Graduate)")</f>
        <v>Junior Analyst, Professional Services (Graduate)</v>
      </c>
      <c r="D377" s="7" t="str">
        <f>IFERROR(__xludf.DUMMYFUNCTION("""COMPUTED_VALUE"""),"München")</f>
        <v>München</v>
      </c>
      <c r="E377" s="7" t="str">
        <f>IFERROR(__xludf.DUMMYFUNCTION("""COMPUTED_VALUE"""),"Medallia, Inc.")</f>
        <v>Medallia, Inc.</v>
      </c>
      <c r="F377" s="7" t="str">
        <f>IFERROR(__xludf.DUMMYFUNCTION("""COMPUTED_VALUE"""),"None")</f>
        <v>None</v>
      </c>
      <c r="G377" s="7" t="str">
        <f>IFERROR(__xludf.DUMMYFUNCTION("""COMPUTED_VALUE"""),"No salary data")</f>
        <v>No salary data</v>
      </c>
      <c r="H377" s="7" t="str">
        <f>IFERROR(__xludf.DUMMYFUNCTION("""COMPUTED_VALUE"""),"No salary data")</f>
        <v>No salary data</v>
      </c>
      <c r="I377" s="7" t="str">
        <f>IFERROR(__xludf.DUMMYFUNCTION("""COMPUTED_VALUE"""),"No salary data")</f>
        <v>No salary data</v>
      </c>
      <c r="J377" s="7" t="str">
        <f>IFERROR(__xludf.DUMMYFUNCTION("""COMPUTED_VALUE"""),"Excel")</f>
        <v>Excel</v>
      </c>
      <c r="K377" s="7" t="str">
        <f>IFERROR(__xludf.DUMMYFUNCTION("""COMPUTED_VALUE"""),"No job type data")</f>
        <v>No job type data</v>
      </c>
      <c r="L377" s="7" t="str">
        <f>IFERROR(__xludf.DUMMYFUNCTION("""COMPUTED_VALUE"""),"None")</f>
        <v>None</v>
      </c>
      <c r="M377" s="7"/>
      <c r="N377" s="7"/>
      <c r="O377" s="7"/>
    </row>
    <row r="378">
      <c r="A378" s="29">
        <f>IFERROR(__xludf.DUMMYFUNCTION("""COMPUTED_VALUE"""),374.0)</f>
        <v>374</v>
      </c>
      <c r="B378" s="7" t="str">
        <f>IFERROR(__xludf.DUMMYFUNCTION("""COMPUTED_VALUE"""),"vor 19 Tagen")</f>
        <v>vor 19 Tagen</v>
      </c>
      <c r="C378" s="7" t="str">
        <f>IFERROR(__xludf.DUMMYFUNCTION("""COMPUTED_VALUE"""),"Business Intelligence Developer (w/m/x)")</f>
        <v>Business Intelligence Developer (w/m/x)</v>
      </c>
      <c r="D378" s="7" t="str">
        <f>IFERROR(__xludf.DUMMYFUNCTION("""COMPUTED_VALUE"""),"Halle (Westfalen)")</f>
        <v>Halle (Westfalen)</v>
      </c>
      <c r="E378" s="7" t="str">
        <f>IFERROR(__xludf.DUMMYFUNCTION("""COMPUTED_VALUE"""),"GERRY WEBER In­ter­na­tio­nal AG")</f>
        <v>GERRY WEBER In­ter­na­tio­nal AG</v>
      </c>
      <c r="F378" s="7" t="str">
        <f>IFERROR(__xludf.DUMMYFUNCTION("""COMPUTED_VALUE"""),"None")</f>
        <v>None</v>
      </c>
      <c r="G378" s="7" t="str">
        <f>IFERROR(__xludf.DUMMYFUNCTION("""COMPUTED_VALUE"""),"No salary data")</f>
        <v>No salary data</v>
      </c>
      <c r="H378" s="7" t="str">
        <f>IFERROR(__xludf.DUMMYFUNCTION("""COMPUTED_VALUE"""),"No salary data")</f>
        <v>No salary data</v>
      </c>
      <c r="I378" s="7" t="str">
        <f>IFERROR(__xludf.DUMMYFUNCTION("""COMPUTED_VALUE"""),"No salary data")</f>
        <v>No salary data</v>
      </c>
      <c r="J378" s="7" t="str">
        <f>IFERROR(__xludf.DUMMYFUNCTION("""COMPUTED_VALUE"""),"SQL, Agile, Scrum, Kanban")</f>
        <v>SQL, Agile, Scrum, Kanban</v>
      </c>
      <c r="K378" s="7" t="str">
        <f>IFERROR(__xludf.DUMMYFUNCTION("""COMPUTED_VALUE"""),"No job type data")</f>
        <v>No job type data</v>
      </c>
      <c r="L378" s="7" t="str">
        <f>IFERROR(__xludf.DUMMYFUNCTION("""COMPUTED_VALUE"""),"3,7")</f>
        <v>3,7</v>
      </c>
      <c r="M378" s="7"/>
      <c r="N378" s="7"/>
      <c r="O378" s="7"/>
    </row>
    <row r="379">
      <c r="A379" s="29">
        <f>IFERROR(__xludf.DUMMYFUNCTION("""COMPUTED_VALUE"""),375.0)</f>
        <v>375</v>
      </c>
      <c r="B379" s="7" t="str">
        <f>IFERROR(__xludf.DUMMYFUNCTION("""COMPUTED_VALUE"""),"vor 10 Tagen")</f>
        <v>vor 10 Tagen</v>
      </c>
      <c r="C379" s="7" t="str">
        <f>IFERROR(__xludf.DUMMYFUNCTION("""COMPUTED_VALUE"""),"Business Intelligence Specialist / BI Entwickler (m/w/d)")</f>
        <v>Business Intelligence Specialist / BI Entwickler (m/w/d)</v>
      </c>
      <c r="D379" s="7" t="str">
        <f>IFERROR(__xludf.DUMMYFUNCTION("""COMPUTED_VALUE"""),"Frechen")</f>
        <v>Frechen</v>
      </c>
      <c r="E379" s="7" t="str">
        <f>IFERROR(__xludf.DUMMYFUNCTION("""COMPUTED_VALUE"""),"WhiteWall Media GmbH")</f>
        <v>WhiteWall Media GmbH</v>
      </c>
      <c r="F379" s="7" t="str">
        <f>IFERROR(__xludf.DUMMYFUNCTION("""COMPUTED_VALUE"""),"None")</f>
        <v>None</v>
      </c>
      <c r="G379" s="7" t="str">
        <f>IFERROR(__xludf.DUMMYFUNCTION("""COMPUTED_VALUE"""),"No salary data")</f>
        <v>No salary data</v>
      </c>
      <c r="H379" s="7" t="str">
        <f>IFERROR(__xludf.DUMMYFUNCTION("""COMPUTED_VALUE"""),"No salary data")</f>
        <v>No salary data</v>
      </c>
      <c r="I379" s="7" t="str">
        <f>IFERROR(__xludf.DUMMYFUNCTION("""COMPUTED_VALUE"""),"No salary data")</f>
        <v>No salary data</v>
      </c>
      <c r="J379" s="7" t="str">
        <f>IFERROR(__xludf.DUMMYFUNCTION("""COMPUTED_VALUE"""),"SQL, Tableau")</f>
        <v>SQL, Tableau</v>
      </c>
      <c r="K379" s="7" t="str">
        <f>IFERROR(__xludf.DUMMYFUNCTION("""COMPUTED_VALUE"""),"No job type data")</f>
        <v>No job type data</v>
      </c>
      <c r="L379" s="7" t="str">
        <f>IFERROR(__xludf.DUMMYFUNCTION("""COMPUTED_VALUE"""),"None")</f>
        <v>None</v>
      </c>
      <c r="M379" s="7"/>
      <c r="N379" s="7"/>
      <c r="O379" s="7"/>
    </row>
    <row r="380">
      <c r="A380" s="29">
        <f>IFERROR(__xludf.DUMMYFUNCTION("""COMPUTED_VALUE"""),376.0)</f>
        <v>376</v>
      </c>
      <c r="B380" s="7" t="str">
        <f>IFERROR(__xludf.DUMMYFUNCTION("""COMPUTED_VALUE"""),"vor 20 Tagen")</f>
        <v>vor 20 Tagen</v>
      </c>
      <c r="C380" s="7" t="str">
        <f>IFERROR(__xludf.DUMMYFUNCTION("""COMPUTED_VALUE"""),"Reporting Engineer (M/W/D)")</f>
        <v>Reporting Engineer (M/W/D)</v>
      </c>
      <c r="D380" s="7" t="str">
        <f>IFERROR(__xludf.DUMMYFUNCTION("""COMPUTED_VALUE"""),"Berlin")</f>
        <v>Berlin</v>
      </c>
      <c r="E380" s="7" t="str">
        <f>IFERROR(__xludf.DUMMYFUNCTION("""COMPUTED_VALUE"""),"Positive Thinking Company Deutschland GmbH")</f>
        <v>Positive Thinking Company Deutschland GmbH</v>
      </c>
      <c r="F380" s="7" t="str">
        <f>IFERROR(__xludf.DUMMYFUNCTION("""COMPUTED_VALUE"""),"None")</f>
        <v>None</v>
      </c>
      <c r="G380" s="7" t="str">
        <f>IFERROR(__xludf.DUMMYFUNCTION("""COMPUTED_VALUE"""),"No salary data")</f>
        <v>No salary data</v>
      </c>
      <c r="H380" s="7" t="str">
        <f>IFERROR(__xludf.DUMMYFUNCTION("""COMPUTED_VALUE"""),"No salary data")</f>
        <v>No salary data</v>
      </c>
      <c r="I380" s="7" t="str">
        <f>IFERROR(__xludf.DUMMYFUNCTION("""COMPUTED_VALUE"""),"No salary data")</f>
        <v>No salary data</v>
      </c>
      <c r="J380" s="7" t="str">
        <f>IFERROR(__xludf.DUMMYFUNCTION("""COMPUTED_VALUE"""),"Python, SQL, Tableau, Agile")</f>
        <v>Python, SQL, Tableau, Agile</v>
      </c>
      <c r="K380" s="7" t="str">
        <f>IFERROR(__xludf.DUMMYFUNCTION("""COMPUTED_VALUE"""),"No job type data")</f>
        <v>No job type data</v>
      </c>
      <c r="L380" s="7" t="str">
        <f>IFERROR(__xludf.DUMMYFUNCTION("""COMPUTED_VALUE"""),"None")</f>
        <v>None</v>
      </c>
      <c r="M380" s="7"/>
      <c r="N380" s="7"/>
      <c r="O380" s="7"/>
    </row>
    <row r="381">
      <c r="A381" s="29">
        <f>IFERROR(__xludf.DUMMYFUNCTION("""COMPUTED_VALUE"""),377.0)</f>
        <v>377</v>
      </c>
      <c r="B381" s="7" t="str">
        <f>IFERROR(__xludf.DUMMYFUNCTION("""COMPUTED_VALUE"""),"vor 28 Tagen")</f>
        <v>vor 28 Tagen</v>
      </c>
      <c r="C381" s="7" t="str">
        <f>IFERROR(__xludf.DUMMYFUNCTION("""COMPUTED_VALUE"""),"Data Analyst für die Logistikplanung (m/w/d)")</f>
        <v>Data Analyst für die Logistikplanung (m/w/d)</v>
      </c>
      <c r="D381" s="7" t="str">
        <f>IFERROR(__xludf.DUMMYFUNCTION("""COMPUTED_VALUE"""),"Straubing")</f>
        <v>Straubing</v>
      </c>
      <c r="E381" s="7" t="str">
        <f>IFERROR(__xludf.DUMMYFUNCTION("""COMPUTED_VALUE"""),"Koch &amp; Holzapfel GmbH")</f>
        <v>Koch &amp; Holzapfel GmbH</v>
      </c>
      <c r="F381" s="7" t="str">
        <f>IFERROR(__xludf.DUMMYFUNCTION("""COMPUTED_VALUE"""),"None")</f>
        <v>None</v>
      </c>
      <c r="G381" s="7" t="str">
        <f>IFERROR(__xludf.DUMMYFUNCTION("""COMPUTED_VALUE"""),"No salary data")</f>
        <v>No salary data</v>
      </c>
      <c r="H381" s="7" t="str">
        <f>IFERROR(__xludf.DUMMYFUNCTION("""COMPUTED_VALUE"""),"No salary data")</f>
        <v>No salary data</v>
      </c>
      <c r="I381" s="7" t="str">
        <f>IFERROR(__xludf.DUMMYFUNCTION("""COMPUTED_VALUE"""),"No salary data")</f>
        <v>No salary data</v>
      </c>
      <c r="J381" s="7" t="str">
        <f>IFERROR(__xludf.DUMMYFUNCTION("""COMPUTED_VALUE"""),"SQL, Excel")</f>
        <v>SQL, Excel</v>
      </c>
      <c r="K381" s="7" t="str">
        <f>IFERROR(__xludf.DUMMYFUNCTION("""COMPUTED_VALUE"""),"No job type data")</f>
        <v>No job type data</v>
      </c>
      <c r="L381" s="7" t="str">
        <f>IFERROR(__xludf.DUMMYFUNCTION("""COMPUTED_VALUE"""),"None")</f>
        <v>None</v>
      </c>
      <c r="M381" s="7"/>
      <c r="N381" s="7"/>
      <c r="O381" s="7"/>
    </row>
    <row r="382">
      <c r="A382" s="29">
        <f>IFERROR(__xludf.DUMMYFUNCTION("""COMPUTED_VALUE"""),378.0)</f>
        <v>378</v>
      </c>
      <c r="B382" s="7" t="str">
        <f>IFERROR(__xludf.DUMMYFUNCTION("""COMPUTED_VALUE"""),"Vor mehr als 30 Tagen")</f>
        <v>Vor mehr als 30 Tagen</v>
      </c>
      <c r="C382" s="7" t="str">
        <f>IFERROR(__xludf.DUMMYFUNCTION("""COMPUTED_VALUE"""),"Business Intelligence Developer (m/w/d)")</f>
        <v>Business Intelligence Developer (m/w/d)</v>
      </c>
      <c r="D382" s="7" t="str">
        <f>IFERROR(__xludf.DUMMYFUNCTION("""COMPUTED_VALUE"""),"Düsseldorf")</f>
        <v>Düsseldorf</v>
      </c>
      <c r="E382" s="7" t="str">
        <f>IFERROR(__xludf.DUMMYFUNCTION("""COMPUTED_VALUE"""),"Tommy Hilfiger")</f>
        <v>Tommy Hilfiger</v>
      </c>
      <c r="F382" s="7" t="str">
        <f>IFERROR(__xludf.DUMMYFUNCTION("""COMPUTED_VALUE"""),"None")</f>
        <v>None</v>
      </c>
      <c r="G382" s="7" t="str">
        <f>IFERROR(__xludf.DUMMYFUNCTION("""COMPUTED_VALUE"""),"No salary data")</f>
        <v>No salary data</v>
      </c>
      <c r="H382" s="7" t="str">
        <f>IFERROR(__xludf.DUMMYFUNCTION("""COMPUTED_VALUE"""),"No salary data")</f>
        <v>No salary data</v>
      </c>
      <c r="I382" s="7" t="str">
        <f>IFERROR(__xludf.DUMMYFUNCTION("""COMPUTED_VALUE"""),"No salary data")</f>
        <v>No salary data</v>
      </c>
      <c r="J382" s="7" t="str">
        <f>IFERROR(__xludf.DUMMYFUNCTION("""COMPUTED_VALUE"""),"SQL, Tableau, Agile, Jira")</f>
        <v>SQL, Tableau, Agile, Jira</v>
      </c>
      <c r="K382" s="7" t="str">
        <f>IFERROR(__xludf.DUMMYFUNCTION("""COMPUTED_VALUE"""),"No job type data")</f>
        <v>No job type data</v>
      </c>
      <c r="L382" s="7" t="str">
        <f>IFERROR(__xludf.DUMMYFUNCTION("""COMPUTED_VALUE"""),"3,8")</f>
        <v>3,8</v>
      </c>
      <c r="M382" s="7"/>
      <c r="N382" s="7"/>
      <c r="O382" s="7"/>
    </row>
    <row r="383">
      <c r="A383" s="29">
        <f>IFERROR(__xludf.DUMMYFUNCTION("""COMPUTED_VALUE"""),379.0)</f>
        <v>379</v>
      </c>
      <c r="B383" s="7" t="str">
        <f>IFERROR(__xludf.DUMMYFUNCTION("""COMPUTED_VALUE"""),"vor 6 Tagen")</f>
        <v>vor 6 Tagen</v>
      </c>
      <c r="C383" s="7" t="str">
        <f>IFERROR(__xludf.DUMMYFUNCTION("""COMPUTED_VALUE"""),"University Graduate Innovation &amp; Commercial Development inte...")</f>
        <v>University Graduate Innovation &amp; Commercial Development inte...</v>
      </c>
      <c r="D383" s="7" t="str">
        <f>IFERROR(__xludf.DUMMYFUNCTION("""COMPUTED_VALUE"""),"Bonn")</f>
        <v>Bonn</v>
      </c>
      <c r="E383" s="7" t="str">
        <f>IFERROR(__xludf.DUMMYFUNCTION("""COMPUTED_VALUE"""),"DHL Customer Solutions &amp; Innovation")</f>
        <v>DHL Customer Solutions &amp; Innovation</v>
      </c>
      <c r="F383" s="7" t="str">
        <f>IFERROR(__xludf.DUMMYFUNCTION("""COMPUTED_VALUE"""),"None")</f>
        <v>None</v>
      </c>
      <c r="G383" s="7" t="str">
        <f>IFERROR(__xludf.DUMMYFUNCTION("""COMPUTED_VALUE"""),"No salary data")</f>
        <v>No salary data</v>
      </c>
      <c r="H383" s="7" t="str">
        <f>IFERROR(__xludf.DUMMYFUNCTION("""COMPUTED_VALUE"""),"No salary data")</f>
        <v>No salary data</v>
      </c>
      <c r="I383" s="7" t="str">
        <f>IFERROR(__xludf.DUMMYFUNCTION("""COMPUTED_VALUE"""),"No salary data")</f>
        <v>No salary data</v>
      </c>
      <c r="J383" s="7"/>
      <c r="K383" s="7" t="str">
        <f>IFERROR(__xludf.DUMMYFUNCTION("""COMPUTED_VALUE"""),"No job type data")</f>
        <v>No job type data</v>
      </c>
      <c r="L383" s="7" t="str">
        <f>IFERROR(__xludf.DUMMYFUNCTION("""COMPUTED_VALUE"""),"3,7")</f>
        <v>3,7</v>
      </c>
      <c r="M383" s="7"/>
      <c r="N383" s="7"/>
      <c r="O383" s="7"/>
    </row>
    <row r="384">
      <c r="A384" s="29">
        <f>IFERROR(__xludf.DUMMYFUNCTION("""COMPUTED_VALUE"""),380.0)</f>
        <v>380</v>
      </c>
      <c r="B384" s="7" t="str">
        <f>IFERROR(__xludf.DUMMYFUNCTION("""COMPUTED_VALUE"""),"Vor mehr als 30 Tagen")</f>
        <v>Vor mehr als 30 Tagen</v>
      </c>
      <c r="C384" s="7" t="str">
        <f>IFERROR(__xludf.DUMMYFUNCTION("""COMPUTED_VALUE"""),"(Consumer) Data Engineer (m/w/d)")</f>
        <v>(Consumer) Data Engineer (m/w/d)</v>
      </c>
      <c r="D384" s="7" t="str">
        <f>IFERROR(__xludf.DUMMYFUNCTION("""COMPUTED_VALUE"""),"Norderstedt")</f>
        <v>Norderstedt</v>
      </c>
      <c r="E384" s="7" t="str">
        <f>IFERROR(__xludf.DUMMYFUNCTION("""COMPUTED_VALUE"""),"Blume 2000")</f>
        <v>Blume 2000</v>
      </c>
      <c r="F384" s="7" t="str">
        <f>IFERROR(__xludf.DUMMYFUNCTION("""COMPUTED_VALUE"""),"None")</f>
        <v>None</v>
      </c>
      <c r="G384" s="7" t="str">
        <f>IFERROR(__xludf.DUMMYFUNCTION("""COMPUTED_VALUE"""),"No salary data")</f>
        <v>No salary data</v>
      </c>
      <c r="H384" s="7" t="str">
        <f>IFERROR(__xludf.DUMMYFUNCTION("""COMPUTED_VALUE"""),"No salary data")</f>
        <v>No salary data</v>
      </c>
      <c r="I384" s="7" t="str">
        <f>IFERROR(__xludf.DUMMYFUNCTION("""COMPUTED_VALUE"""),"No salary data")</f>
        <v>No salary data</v>
      </c>
      <c r="J384" s="7" t="str">
        <f>IFERROR(__xludf.DUMMYFUNCTION("""COMPUTED_VALUE"""),"SQL")</f>
        <v>SQL</v>
      </c>
      <c r="K384" s="7" t="str">
        <f>IFERROR(__xludf.DUMMYFUNCTION("""COMPUTED_VALUE"""),"No job type data")</f>
        <v>No job type data</v>
      </c>
      <c r="L384" s="7" t="str">
        <f>IFERROR(__xludf.DUMMYFUNCTION("""COMPUTED_VALUE"""),"3,2")</f>
        <v>3,2</v>
      </c>
      <c r="M384" s="7"/>
      <c r="N384" s="7"/>
      <c r="O384" s="7"/>
    </row>
    <row r="385">
      <c r="A385" s="29">
        <f>IFERROR(__xludf.DUMMYFUNCTION("""COMPUTED_VALUE"""),381.0)</f>
        <v>381</v>
      </c>
      <c r="B385" s="7" t="str">
        <f>IFERROR(__xludf.DUMMYFUNCTION("""COMPUTED_VALUE"""),"Vor mehr als 30 Tagen")</f>
        <v>Vor mehr als 30 Tagen</v>
      </c>
      <c r="C385" s="7" t="str">
        <f>IFERROR(__xludf.DUMMYFUNCTION("""COMPUTED_VALUE"""),"Big Data Engineer")</f>
        <v>Big Data Engineer</v>
      </c>
      <c r="D385" s="7" t="str">
        <f>IFERROR(__xludf.DUMMYFUNCTION("""COMPUTED_VALUE"""),"Hamburg")</f>
        <v>Hamburg</v>
      </c>
      <c r="E385" s="7" t="str">
        <f>IFERROR(__xludf.DUMMYFUNCTION("""COMPUTED_VALUE"""),"Flint Data")</f>
        <v>Flint Data</v>
      </c>
      <c r="F385" s="7" t="str">
        <f>IFERROR(__xludf.DUMMYFUNCTION("""COMPUTED_VALUE"""),"70,000 € - 75,000 € pro Jahr")</f>
        <v>70,000 € - 75,000 € pro Jahr</v>
      </c>
      <c r="G385" s="7">
        <f>IFERROR(__xludf.DUMMYFUNCTION("""COMPUTED_VALUE"""),72500.0)</f>
        <v>72500</v>
      </c>
      <c r="H385" s="7" t="str">
        <f>IFERROR(__xludf.DUMMYFUNCTION("""COMPUTED_VALUE"""),"Jahr")</f>
        <v>Jahr</v>
      </c>
      <c r="I385" s="7">
        <f>IFERROR(__xludf.DUMMYFUNCTION("""COMPUTED_VALUE"""),72500.0)</f>
        <v>72500</v>
      </c>
      <c r="J385" s="7" t="str">
        <f>IFERROR(__xludf.DUMMYFUNCTION("""COMPUTED_VALUE"""),"Python, SQL, Agile")</f>
        <v>Python, SQL, Agile</v>
      </c>
      <c r="K385" s="7" t="str">
        <f>IFERROR(__xludf.DUMMYFUNCTION("""COMPUTED_VALUE"""),"No job type data")</f>
        <v>No job type data</v>
      </c>
      <c r="L385" s="7" t="str">
        <f>IFERROR(__xludf.DUMMYFUNCTION("""COMPUTED_VALUE"""),"None")</f>
        <v>None</v>
      </c>
      <c r="M385" s="7"/>
      <c r="N385" s="7"/>
      <c r="O385" s="7"/>
    </row>
    <row r="386">
      <c r="A386" s="29">
        <f>IFERROR(__xludf.DUMMYFUNCTION("""COMPUTED_VALUE"""),382.0)</f>
        <v>382</v>
      </c>
      <c r="B386" s="7" t="str">
        <f>IFERROR(__xludf.DUMMYFUNCTION("""COMPUTED_VALUE"""),"vor 3 Tagen")</f>
        <v>vor 3 Tagen</v>
      </c>
      <c r="C386" s="7" t="str">
        <f>IFERROR(__xludf.DUMMYFUNCTION("""COMPUTED_VALUE"""),"Data Engineer (m/w/d)")</f>
        <v>Data Engineer (m/w/d)</v>
      </c>
      <c r="D386" s="7" t="str">
        <f>IFERROR(__xludf.DUMMYFUNCTION("""COMPUTED_VALUE"""),"Berlin")</f>
        <v>Berlin</v>
      </c>
      <c r="E386" s="7" t="str">
        <f>IFERROR(__xludf.DUMMYFUNCTION("""COMPUTED_VALUE"""),"Plan D GmbH")</f>
        <v>Plan D GmbH</v>
      </c>
      <c r="F386" s="7" t="str">
        <f>IFERROR(__xludf.DUMMYFUNCTION("""COMPUTED_VALUE"""),"None")</f>
        <v>None</v>
      </c>
      <c r="G386" s="7" t="str">
        <f>IFERROR(__xludf.DUMMYFUNCTION("""COMPUTED_VALUE"""),"No salary data")</f>
        <v>No salary data</v>
      </c>
      <c r="H386" s="7" t="str">
        <f>IFERROR(__xludf.DUMMYFUNCTION("""COMPUTED_VALUE"""),"No salary data")</f>
        <v>No salary data</v>
      </c>
      <c r="I386" s="7" t="str">
        <f>IFERROR(__xludf.DUMMYFUNCTION("""COMPUTED_VALUE"""),"No salary data")</f>
        <v>No salary data</v>
      </c>
      <c r="J386" s="7" t="str">
        <f>IFERROR(__xludf.DUMMYFUNCTION("""COMPUTED_VALUE"""),"Python, SQL, Git, Agile")</f>
        <v>Python, SQL, Git, Agile</v>
      </c>
      <c r="K386" s="7" t="str">
        <f>IFERROR(__xludf.DUMMYFUNCTION("""COMPUTED_VALUE"""),"No job type data")</f>
        <v>No job type data</v>
      </c>
      <c r="L386" s="7" t="str">
        <f>IFERROR(__xludf.DUMMYFUNCTION("""COMPUTED_VALUE"""),"None")</f>
        <v>None</v>
      </c>
      <c r="M386" s="7"/>
      <c r="N386" s="7"/>
      <c r="O386" s="7"/>
    </row>
    <row r="387">
      <c r="A387" s="29">
        <f>IFERROR(__xludf.DUMMYFUNCTION("""COMPUTED_VALUE"""),383.0)</f>
        <v>383</v>
      </c>
      <c r="B387" s="7" t="str">
        <f>IFERROR(__xludf.DUMMYFUNCTION("""COMPUTED_VALUE"""),"Vor mehr als 30 Tagen")</f>
        <v>Vor mehr als 30 Tagen</v>
      </c>
      <c r="C387" s="7" t="str">
        <f>IFERROR(__xludf.DUMMYFUNCTION("""COMPUTED_VALUE"""),"Analytical &amp; Data Visualization Developer (m/w/d)")</f>
        <v>Analytical &amp; Data Visualization Developer (m/w/d)</v>
      </c>
      <c r="D387" s="7" t="str">
        <f>IFERROR(__xludf.DUMMYFUNCTION("""COMPUTED_VALUE"""),"Deutschland")</f>
        <v>Deutschland</v>
      </c>
      <c r="E387" s="7" t="str">
        <f>IFERROR(__xludf.DUMMYFUNCTION("""COMPUTED_VALUE"""),"mayato GmbH")</f>
        <v>mayato GmbH</v>
      </c>
      <c r="F387" s="7" t="str">
        <f>IFERROR(__xludf.DUMMYFUNCTION("""COMPUTED_VALUE"""),"None")</f>
        <v>None</v>
      </c>
      <c r="G387" s="7" t="str">
        <f>IFERROR(__xludf.DUMMYFUNCTION("""COMPUTED_VALUE"""),"No salary data")</f>
        <v>No salary data</v>
      </c>
      <c r="H387" s="7" t="str">
        <f>IFERROR(__xludf.DUMMYFUNCTION("""COMPUTED_VALUE"""),"No salary data")</f>
        <v>No salary data</v>
      </c>
      <c r="I387" s="7" t="str">
        <f>IFERROR(__xludf.DUMMYFUNCTION("""COMPUTED_VALUE"""),"No salary data")</f>
        <v>No salary data</v>
      </c>
      <c r="J387" s="7" t="str">
        <f>IFERROR(__xludf.DUMMYFUNCTION("""COMPUTED_VALUE"""),"Tableau, Git")</f>
        <v>Tableau, Git</v>
      </c>
      <c r="K387" s="7" t="str">
        <f>IFERROR(__xludf.DUMMYFUNCTION("""COMPUTED_VALUE"""),"No job type data")</f>
        <v>No job type data</v>
      </c>
      <c r="L387" s="7" t="str">
        <f>IFERROR(__xludf.DUMMYFUNCTION("""COMPUTED_VALUE"""),"4,8")</f>
        <v>4,8</v>
      </c>
      <c r="M387" s="7"/>
      <c r="N387" s="7"/>
      <c r="O387" s="7"/>
    </row>
    <row r="388">
      <c r="A388" s="29">
        <f>IFERROR(__xludf.DUMMYFUNCTION("""COMPUTED_VALUE"""),384.0)</f>
        <v>384</v>
      </c>
      <c r="B388" s="7" t="str">
        <f>IFERROR(__xludf.DUMMYFUNCTION("""COMPUTED_VALUE"""),"vor 18 Tagen")</f>
        <v>vor 18 Tagen</v>
      </c>
      <c r="C388" s="7" t="str">
        <f>IFERROR(__xludf.DUMMYFUNCTION("""COMPUTED_VALUE"""),"Business Analyst (m/w/d)")</f>
        <v>Business Analyst (m/w/d)</v>
      </c>
      <c r="D388" s="7" t="str">
        <f>IFERROR(__xludf.DUMMYFUNCTION("""COMPUTED_VALUE"""),"Köln")</f>
        <v>Köln</v>
      </c>
      <c r="E388" s="7" t="str">
        <f>IFERROR(__xludf.DUMMYFUNCTION("""COMPUTED_VALUE"""),"CHRONEXT Service Germany GmbH")</f>
        <v>CHRONEXT Service Germany GmbH</v>
      </c>
      <c r="F388" s="7" t="str">
        <f>IFERROR(__xludf.DUMMYFUNCTION("""COMPUTED_VALUE"""),"None")</f>
        <v>None</v>
      </c>
      <c r="G388" s="7" t="str">
        <f>IFERROR(__xludf.DUMMYFUNCTION("""COMPUTED_VALUE"""),"No salary data")</f>
        <v>No salary data</v>
      </c>
      <c r="H388" s="7" t="str">
        <f>IFERROR(__xludf.DUMMYFUNCTION("""COMPUTED_VALUE"""),"No salary data")</f>
        <v>No salary data</v>
      </c>
      <c r="I388" s="7" t="str">
        <f>IFERROR(__xludf.DUMMYFUNCTION("""COMPUTED_VALUE"""),"No salary data")</f>
        <v>No salary data</v>
      </c>
      <c r="J388" s="7" t="str">
        <f>IFERROR(__xludf.DUMMYFUNCTION("""COMPUTED_VALUE"""),"Python, SQL, Tableau, Excel")</f>
        <v>Python, SQL, Tableau, Excel</v>
      </c>
      <c r="K388" s="7" t="str">
        <f>IFERROR(__xludf.DUMMYFUNCTION("""COMPUTED_VALUE"""),"No job type data")</f>
        <v>No job type data</v>
      </c>
      <c r="L388" s="7" t="str">
        <f>IFERROR(__xludf.DUMMYFUNCTION("""COMPUTED_VALUE"""),"None")</f>
        <v>None</v>
      </c>
      <c r="M388" s="7"/>
      <c r="N388" s="7"/>
      <c r="O388" s="7"/>
    </row>
    <row r="389">
      <c r="A389" s="29">
        <f>IFERROR(__xludf.DUMMYFUNCTION("""COMPUTED_VALUE"""),385.0)</f>
        <v>385</v>
      </c>
      <c r="B389" s="7" t="str">
        <f>IFERROR(__xludf.DUMMYFUNCTION("""COMPUTED_VALUE"""),"vor 12 Tagen")</f>
        <v>vor 12 Tagen</v>
      </c>
      <c r="C389" s="7" t="str">
        <f>IFERROR(__xludf.DUMMYFUNCTION("""COMPUTED_VALUE"""),"Innovation Unit Data Steward")</f>
        <v>Innovation Unit Data Steward</v>
      </c>
      <c r="D389" s="7" t="str">
        <f>IFERROR(__xludf.DUMMYFUNCTION("""COMPUTED_VALUE"""),"Biberach an der Riß")</f>
        <v>Biberach an der Riß</v>
      </c>
      <c r="E389" s="7" t="str">
        <f>IFERROR(__xludf.DUMMYFUNCTION("""COMPUTED_VALUE"""),"Boehringer Ingelheim")</f>
        <v>Boehringer Ingelheim</v>
      </c>
      <c r="F389" s="7" t="str">
        <f>IFERROR(__xludf.DUMMYFUNCTION("""COMPUTED_VALUE"""),"None")</f>
        <v>None</v>
      </c>
      <c r="G389" s="7" t="str">
        <f>IFERROR(__xludf.DUMMYFUNCTION("""COMPUTED_VALUE"""),"No salary data")</f>
        <v>No salary data</v>
      </c>
      <c r="H389" s="7" t="str">
        <f>IFERROR(__xludf.DUMMYFUNCTION("""COMPUTED_VALUE"""),"No salary data")</f>
        <v>No salary data</v>
      </c>
      <c r="I389" s="7" t="str">
        <f>IFERROR(__xludf.DUMMYFUNCTION("""COMPUTED_VALUE"""),"No salary data")</f>
        <v>No salary data</v>
      </c>
      <c r="J389" s="7" t="str">
        <f>IFERROR(__xludf.DUMMYFUNCTION("""COMPUTED_VALUE"""),"Excel, Git")</f>
        <v>Excel, Git</v>
      </c>
      <c r="K389" s="7" t="str">
        <f>IFERROR(__xludf.DUMMYFUNCTION("""COMPUTED_VALUE"""),"Full-Time")</f>
        <v>Full-Time</v>
      </c>
      <c r="L389" s="7" t="str">
        <f>IFERROR(__xludf.DUMMYFUNCTION("""COMPUTED_VALUE"""),"4,1")</f>
        <v>4,1</v>
      </c>
      <c r="M389" s="7"/>
      <c r="N389" s="7"/>
      <c r="O389" s="7"/>
    </row>
    <row r="390">
      <c r="A390" s="29">
        <f>IFERROR(__xludf.DUMMYFUNCTION("""COMPUTED_VALUE"""),386.0)</f>
        <v>386</v>
      </c>
      <c r="B390" s="7" t="str">
        <f>IFERROR(__xludf.DUMMYFUNCTION("""COMPUTED_VALUE"""),"vor 24 Tagen")</f>
        <v>vor 24 Tagen</v>
      </c>
      <c r="C390" s="7" t="str">
        <f>IFERROR(__xludf.DUMMYFUNCTION("""COMPUTED_VALUE"""),"Web Analyst (m/f/d) Marketing Europe")</f>
        <v>Web Analyst (m/f/d) Marketing Europe</v>
      </c>
      <c r="D390" s="7" t="str">
        <f>IFERROR(__xludf.DUMMYFUNCTION("""COMPUTED_VALUE"""),"Saarbrücken")</f>
        <v>Saarbrücken</v>
      </c>
      <c r="E390" s="7" t="str">
        <f>IFERROR(__xludf.DUMMYFUNCTION("""COMPUTED_VALUE"""),"ADLER Vertriebs GmbH &amp; Co. Werbegeschenke KG")</f>
        <v>ADLER Vertriebs GmbH &amp; Co. Werbegeschenke KG</v>
      </c>
      <c r="F390" s="7" t="str">
        <f>IFERROR(__xludf.DUMMYFUNCTION("""COMPUTED_VALUE"""),"None")</f>
        <v>None</v>
      </c>
      <c r="G390" s="7" t="str">
        <f>IFERROR(__xludf.DUMMYFUNCTION("""COMPUTED_VALUE"""),"No salary data")</f>
        <v>No salary data</v>
      </c>
      <c r="H390" s="7" t="str">
        <f>IFERROR(__xludf.DUMMYFUNCTION("""COMPUTED_VALUE"""),"No salary data")</f>
        <v>No salary data</v>
      </c>
      <c r="I390" s="7" t="str">
        <f>IFERROR(__xludf.DUMMYFUNCTION("""COMPUTED_VALUE"""),"No salary data")</f>
        <v>No salary data</v>
      </c>
      <c r="J390" s="7" t="str">
        <f>IFERROR(__xludf.DUMMYFUNCTION("""COMPUTED_VALUE"""),"SQL, Excel, Statistic")</f>
        <v>SQL, Excel, Statistic</v>
      </c>
      <c r="K390" s="7" t="str">
        <f>IFERROR(__xludf.DUMMYFUNCTION("""COMPUTED_VALUE"""),"No job type data")</f>
        <v>No job type data</v>
      </c>
      <c r="L390" s="7" t="str">
        <f>IFERROR(__xludf.DUMMYFUNCTION("""COMPUTED_VALUE"""),"3,0")</f>
        <v>3,0</v>
      </c>
      <c r="M390" s="7"/>
      <c r="N390" s="7"/>
      <c r="O390" s="7"/>
    </row>
    <row r="391">
      <c r="A391" s="29">
        <f>IFERROR(__xludf.DUMMYFUNCTION("""COMPUTED_VALUE"""),387.0)</f>
        <v>387</v>
      </c>
      <c r="B391" s="7" t="str">
        <f>IFERROR(__xludf.DUMMYFUNCTION("""COMPUTED_VALUE"""),"Vor mehr als 30 Tagen")</f>
        <v>Vor mehr als 30 Tagen</v>
      </c>
      <c r="C391" s="7" t="str">
        <f>IFERROR(__xludf.DUMMYFUNCTION("""COMPUTED_VALUE"""),"Junior Consultant BI, Big Data, IoT (m/w/d)")</f>
        <v>Junior Consultant BI, Big Data, IoT (m/w/d)</v>
      </c>
      <c r="D391" s="7" t="str">
        <f>IFERROR(__xludf.DUMMYFUNCTION("""COMPUTED_VALUE"""),"Köln")</f>
        <v>Köln</v>
      </c>
      <c r="E391" s="7" t="str">
        <f>IFERROR(__xludf.DUMMYFUNCTION("""COMPUTED_VALUE"""),"msg systems")</f>
        <v>msg systems</v>
      </c>
      <c r="F391" s="7" t="str">
        <f>IFERROR(__xludf.DUMMYFUNCTION("""COMPUTED_VALUE"""),"None")</f>
        <v>None</v>
      </c>
      <c r="G391" s="7" t="str">
        <f>IFERROR(__xludf.DUMMYFUNCTION("""COMPUTED_VALUE"""),"No salary data")</f>
        <v>No salary data</v>
      </c>
      <c r="H391" s="7" t="str">
        <f>IFERROR(__xludf.DUMMYFUNCTION("""COMPUTED_VALUE"""),"No salary data")</f>
        <v>No salary data</v>
      </c>
      <c r="I391" s="7" t="str">
        <f>IFERROR(__xludf.DUMMYFUNCTION("""COMPUTED_VALUE"""),"No salary data")</f>
        <v>No salary data</v>
      </c>
      <c r="J391" s="7"/>
      <c r="K391" s="7" t="str">
        <f>IFERROR(__xludf.DUMMYFUNCTION("""COMPUTED_VALUE"""),"No job type data")</f>
        <v>No job type data</v>
      </c>
      <c r="L391" s="7" t="str">
        <f>IFERROR(__xludf.DUMMYFUNCTION("""COMPUTED_VALUE"""),"4,6")</f>
        <v>4,6</v>
      </c>
      <c r="M391" s="7"/>
      <c r="N391" s="7"/>
      <c r="O391" s="7"/>
    </row>
    <row r="392">
      <c r="A392" s="29">
        <f>IFERROR(__xludf.DUMMYFUNCTION("""COMPUTED_VALUE"""),388.0)</f>
        <v>388</v>
      </c>
      <c r="B392" s="7" t="str">
        <f>IFERROR(__xludf.DUMMYFUNCTION("""COMPUTED_VALUE"""),"vor 24 Tagen")</f>
        <v>vor 24 Tagen</v>
      </c>
      <c r="C392" s="7" t="str">
        <f>IFERROR(__xludf.DUMMYFUNCTION("""COMPUTED_VALUE"""),"Data Pipeline Engineer")</f>
        <v>Data Pipeline Engineer</v>
      </c>
      <c r="D392" s="7" t="str">
        <f>IFERROR(__xludf.DUMMYFUNCTION("""COMPUTED_VALUE"""),"Berlin")</f>
        <v>Berlin</v>
      </c>
      <c r="E392" s="7" t="str">
        <f>IFERROR(__xludf.DUMMYFUNCTION("""COMPUTED_VALUE"""),"TMP Worldwide")</f>
        <v>TMP Worldwide</v>
      </c>
      <c r="F392" s="7" t="str">
        <f>IFERROR(__xludf.DUMMYFUNCTION("""COMPUTED_VALUE"""),"None")</f>
        <v>None</v>
      </c>
      <c r="G392" s="7" t="str">
        <f>IFERROR(__xludf.DUMMYFUNCTION("""COMPUTED_VALUE"""),"No salary data")</f>
        <v>No salary data</v>
      </c>
      <c r="H392" s="7" t="str">
        <f>IFERROR(__xludf.DUMMYFUNCTION("""COMPUTED_VALUE"""),"No salary data")</f>
        <v>No salary data</v>
      </c>
      <c r="I392" s="7" t="str">
        <f>IFERROR(__xludf.DUMMYFUNCTION("""COMPUTED_VALUE"""),"No salary data")</f>
        <v>No salary data</v>
      </c>
      <c r="J392" s="7"/>
      <c r="K392" s="7" t="str">
        <f>IFERROR(__xludf.DUMMYFUNCTION("""COMPUTED_VALUE"""),"No job type data")</f>
        <v>No job type data</v>
      </c>
      <c r="L392" s="7" t="str">
        <f>IFERROR(__xludf.DUMMYFUNCTION("""COMPUTED_VALUE"""),"None")</f>
        <v>None</v>
      </c>
      <c r="M392" s="7"/>
      <c r="N392" s="7"/>
      <c r="O392" s="7"/>
    </row>
    <row r="393">
      <c r="A393" s="29">
        <f>IFERROR(__xludf.DUMMYFUNCTION("""COMPUTED_VALUE"""),389.0)</f>
        <v>389</v>
      </c>
      <c r="B393" s="7" t="str">
        <f>IFERROR(__xludf.DUMMYFUNCTION("""COMPUTED_VALUE"""),"vor 3 Tagen")</f>
        <v>vor 3 Tagen</v>
      </c>
      <c r="C393" s="7" t="str">
        <f>IFERROR(__xludf.DUMMYFUNCTION("""COMPUTED_VALUE"""),"Data Scientist (w/m/d)")</f>
        <v>Data Scientist (w/m/d)</v>
      </c>
      <c r="D393" s="7" t="str">
        <f>IFERROR(__xludf.DUMMYFUNCTION("""COMPUTED_VALUE"""),"Frankfurt am Main")</f>
        <v>Frankfurt am Main</v>
      </c>
      <c r="E393" s="7" t="str">
        <f>IFERROR(__xludf.DUMMYFUNCTION("""COMPUTED_VALUE"""),"Deutsche Bundesbank")</f>
        <v>Deutsche Bundesbank</v>
      </c>
      <c r="F393" s="7" t="str">
        <f>IFERROR(__xludf.DUMMYFUNCTION("""COMPUTED_VALUE"""),"None")</f>
        <v>None</v>
      </c>
      <c r="G393" s="7" t="str">
        <f>IFERROR(__xludf.DUMMYFUNCTION("""COMPUTED_VALUE"""),"No salary data")</f>
        <v>No salary data</v>
      </c>
      <c r="H393" s="7" t="str">
        <f>IFERROR(__xludf.DUMMYFUNCTION("""COMPUTED_VALUE"""),"No salary data")</f>
        <v>No salary data</v>
      </c>
      <c r="I393" s="7" t="str">
        <f>IFERROR(__xludf.DUMMYFUNCTION("""COMPUTED_VALUE"""),"No salary data")</f>
        <v>No salary data</v>
      </c>
      <c r="J393" s="7" t="str">
        <f>IFERROR(__xludf.DUMMYFUNCTION("""COMPUTED_VALUE"""),"Python")</f>
        <v>Python</v>
      </c>
      <c r="K393" s="7" t="str">
        <f>IFERROR(__xludf.DUMMYFUNCTION("""COMPUTED_VALUE"""),"No job type data")</f>
        <v>No job type data</v>
      </c>
      <c r="L393" s="7" t="str">
        <f>IFERROR(__xludf.DUMMYFUNCTION("""COMPUTED_VALUE"""),"4,2")</f>
        <v>4,2</v>
      </c>
      <c r="M393" s="7"/>
      <c r="N393" s="7"/>
      <c r="O393" s="7"/>
    </row>
    <row r="394">
      <c r="A394" s="29">
        <f>IFERROR(__xludf.DUMMYFUNCTION("""COMPUTED_VALUE"""),390.0)</f>
        <v>390</v>
      </c>
      <c r="B394" s="7" t="str">
        <f>IFERROR(__xludf.DUMMYFUNCTION("""COMPUTED_VALUE"""),"vor 4 Tagen")</f>
        <v>vor 4 Tagen</v>
      </c>
      <c r="C394" s="7" t="str">
        <f>IFERROR(__xludf.DUMMYFUNCTION("""COMPUTED_VALUE"""),"Data Engineer (f/m/d)")</f>
        <v>Data Engineer (f/m/d)</v>
      </c>
      <c r="D394" s="7" t="str">
        <f>IFERROR(__xludf.DUMMYFUNCTION("""COMPUTED_VALUE"""),"Home Office")</f>
        <v>Home Office</v>
      </c>
      <c r="E394" s="7" t="str">
        <f>IFERROR(__xludf.DUMMYFUNCTION("""COMPUTED_VALUE"""),"real,- Digital Payment &amp; Technology Services GmbH")</f>
        <v>real,- Digital Payment &amp; Technology Services GmbH</v>
      </c>
      <c r="F394" s="7" t="str">
        <f>IFERROR(__xludf.DUMMYFUNCTION("""COMPUTED_VALUE"""),"None")</f>
        <v>None</v>
      </c>
      <c r="G394" s="7" t="str">
        <f>IFERROR(__xludf.DUMMYFUNCTION("""COMPUTED_VALUE"""),"No salary data")</f>
        <v>No salary data</v>
      </c>
      <c r="H394" s="7" t="str">
        <f>IFERROR(__xludf.DUMMYFUNCTION("""COMPUTED_VALUE"""),"No salary data")</f>
        <v>No salary data</v>
      </c>
      <c r="I394" s="7" t="str">
        <f>IFERROR(__xludf.DUMMYFUNCTION("""COMPUTED_VALUE"""),"No salary data")</f>
        <v>No salary data</v>
      </c>
      <c r="J394" s="7" t="str">
        <f>IFERROR(__xludf.DUMMYFUNCTION("""COMPUTED_VALUE"""),"Python, SQL, Git, Linux")</f>
        <v>Python, SQL, Git, Linux</v>
      </c>
      <c r="K394" s="7" t="str">
        <f>IFERROR(__xludf.DUMMYFUNCTION("""COMPUTED_VALUE"""),"No job type data")</f>
        <v>No job type data</v>
      </c>
      <c r="L394" s="7" t="str">
        <f>IFERROR(__xludf.DUMMYFUNCTION("""COMPUTED_VALUE"""),"None")</f>
        <v>None</v>
      </c>
      <c r="M394" s="7"/>
      <c r="N394" s="7"/>
      <c r="O394" s="7"/>
    </row>
    <row r="395">
      <c r="A395" s="29">
        <f>IFERROR(__xludf.DUMMYFUNCTION("""COMPUTED_VALUE"""),391.0)</f>
        <v>391</v>
      </c>
      <c r="B395" s="7" t="str">
        <f>IFERROR(__xludf.DUMMYFUNCTION("""COMPUTED_VALUE"""),"vor 11 Tagen")</f>
        <v>vor 11 Tagen</v>
      </c>
      <c r="C395" s="7" t="str">
        <f>IFERROR(__xludf.DUMMYFUNCTION("""COMPUTED_VALUE"""),"Business Analyst (m/w/d)")</f>
        <v>Business Analyst (m/w/d)</v>
      </c>
      <c r="D395" s="7" t="str">
        <f>IFERROR(__xludf.DUMMYFUNCTION("""COMPUTED_VALUE"""),"München")</f>
        <v>München</v>
      </c>
      <c r="E395" s="7" t="str">
        <f>IFERROR(__xludf.DUMMYFUNCTION("""COMPUTED_VALUE"""),"die kartenmacherei GmbH")</f>
        <v>die kartenmacherei GmbH</v>
      </c>
      <c r="F395" s="7" t="str">
        <f>IFERROR(__xludf.DUMMYFUNCTION("""COMPUTED_VALUE"""),"None")</f>
        <v>None</v>
      </c>
      <c r="G395" s="7" t="str">
        <f>IFERROR(__xludf.DUMMYFUNCTION("""COMPUTED_VALUE"""),"No salary data")</f>
        <v>No salary data</v>
      </c>
      <c r="H395" s="7" t="str">
        <f>IFERROR(__xludf.DUMMYFUNCTION("""COMPUTED_VALUE"""),"No salary data")</f>
        <v>No salary data</v>
      </c>
      <c r="I395" s="7" t="str">
        <f>IFERROR(__xludf.DUMMYFUNCTION("""COMPUTED_VALUE"""),"No salary data")</f>
        <v>No salary data</v>
      </c>
      <c r="J395" s="7" t="str">
        <f>IFERROR(__xludf.DUMMYFUNCTION("""COMPUTED_VALUE"""),"Python, SQL, Tableau, Git")</f>
        <v>Python, SQL, Tableau, Git</v>
      </c>
      <c r="K395" s="7" t="str">
        <f>IFERROR(__xludf.DUMMYFUNCTION("""COMPUTED_VALUE"""),"No job type data")</f>
        <v>No job type data</v>
      </c>
      <c r="L395" s="7" t="str">
        <f>IFERROR(__xludf.DUMMYFUNCTION("""COMPUTED_VALUE"""),"None")</f>
        <v>None</v>
      </c>
      <c r="M395" s="7"/>
      <c r="N395" s="7"/>
      <c r="O395" s="7"/>
    </row>
    <row r="396">
      <c r="A396" s="29">
        <f>IFERROR(__xludf.DUMMYFUNCTION("""COMPUTED_VALUE"""),392.0)</f>
        <v>392</v>
      </c>
      <c r="B396" s="7" t="str">
        <f>IFERROR(__xludf.DUMMYFUNCTION("""COMPUTED_VALUE"""),"Vor mehr als 30 Tagen")</f>
        <v>Vor mehr als 30 Tagen</v>
      </c>
      <c r="C396" s="7" t="str">
        <f>IFERROR(__xludf.DUMMYFUNCTION("""COMPUTED_VALUE"""),"Junior Data Analyst / BI Manager (m/w/d)")</f>
        <v>Junior Data Analyst / BI Manager (m/w/d)</v>
      </c>
      <c r="D396" s="7" t="str">
        <f>IFERROR(__xludf.DUMMYFUNCTION("""COMPUTED_VALUE"""),"Hamburg")</f>
        <v>Hamburg</v>
      </c>
      <c r="E396" s="7" t="str">
        <f>IFERROR(__xludf.DUMMYFUNCTION("""COMPUTED_VALUE"""),"Mobile Trend GmbH")</f>
        <v>Mobile Trend GmbH</v>
      </c>
      <c r="F396" s="7" t="str">
        <f>IFERROR(__xludf.DUMMYFUNCTION("""COMPUTED_VALUE"""),"None")</f>
        <v>None</v>
      </c>
      <c r="G396" s="7" t="str">
        <f>IFERROR(__xludf.DUMMYFUNCTION("""COMPUTED_VALUE"""),"No salary data")</f>
        <v>No salary data</v>
      </c>
      <c r="H396" s="7" t="str">
        <f>IFERROR(__xludf.DUMMYFUNCTION("""COMPUTED_VALUE"""),"No salary data")</f>
        <v>No salary data</v>
      </c>
      <c r="I396" s="7" t="str">
        <f>IFERROR(__xludf.DUMMYFUNCTION("""COMPUTED_VALUE"""),"No salary data")</f>
        <v>No salary data</v>
      </c>
      <c r="J396" s="7" t="str">
        <f>IFERROR(__xludf.DUMMYFUNCTION("""COMPUTED_VALUE"""),"SQL")</f>
        <v>SQL</v>
      </c>
      <c r="K396" s="7" t="str">
        <f>IFERROR(__xludf.DUMMYFUNCTION("""COMPUTED_VALUE"""),"No job type data")</f>
        <v>No job type data</v>
      </c>
      <c r="L396" s="7" t="str">
        <f>IFERROR(__xludf.DUMMYFUNCTION("""COMPUTED_VALUE"""),"None")</f>
        <v>None</v>
      </c>
      <c r="M396" s="7"/>
      <c r="N396" s="7"/>
      <c r="O396" s="7"/>
    </row>
    <row r="397">
      <c r="A397" s="29">
        <f>IFERROR(__xludf.DUMMYFUNCTION("""COMPUTED_VALUE"""),393.0)</f>
        <v>393</v>
      </c>
      <c r="B397" s="7" t="str">
        <f>IFERROR(__xludf.DUMMYFUNCTION("""COMPUTED_VALUE"""),"Vor mehr als 30 Tagen")</f>
        <v>Vor mehr als 30 Tagen</v>
      </c>
      <c r="C397" s="7" t="str">
        <f>IFERROR(__xludf.DUMMYFUNCTION("""COMPUTED_VALUE"""),"Graduate Analyst (m/f/x), Cohort Marketing")</f>
        <v>Graduate Analyst (m/f/x), Cohort Marketing</v>
      </c>
      <c r="D397" s="7" t="str">
        <f>IFERROR(__xludf.DUMMYFUNCTION("""COMPUTED_VALUE"""),"Berlin")</f>
        <v>Berlin</v>
      </c>
      <c r="E397" s="7" t="str">
        <f>IFERROR(__xludf.DUMMYFUNCTION("""COMPUTED_VALUE"""),"Wayfair")</f>
        <v>Wayfair</v>
      </c>
      <c r="F397" s="7" t="str">
        <f>IFERROR(__xludf.DUMMYFUNCTION("""COMPUTED_VALUE"""),"None")</f>
        <v>None</v>
      </c>
      <c r="G397" s="7" t="str">
        <f>IFERROR(__xludf.DUMMYFUNCTION("""COMPUTED_VALUE"""),"No salary data")</f>
        <v>No salary data</v>
      </c>
      <c r="H397" s="7" t="str">
        <f>IFERROR(__xludf.DUMMYFUNCTION("""COMPUTED_VALUE"""),"No salary data")</f>
        <v>No salary data</v>
      </c>
      <c r="I397" s="7" t="str">
        <f>IFERROR(__xludf.DUMMYFUNCTION("""COMPUTED_VALUE"""),"No salary data")</f>
        <v>No salary data</v>
      </c>
      <c r="J397" s="7" t="str">
        <f>IFERROR(__xludf.DUMMYFUNCTION("""COMPUTED_VALUE"""),"Python, SQL, Excel")</f>
        <v>Python, SQL, Excel</v>
      </c>
      <c r="K397" s="7" t="str">
        <f>IFERROR(__xludf.DUMMYFUNCTION("""COMPUTED_VALUE"""),"No job type data")</f>
        <v>No job type data</v>
      </c>
      <c r="L397" s="7" t="str">
        <f>IFERROR(__xludf.DUMMYFUNCTION("""COMPUTED_VALUE"""),"3,1")</f>
        <v>3,1</v>
      </c>
      <c r="M397" s="7"/>
      <c r="N397" s="7"/>
      <c r="O397" s="7"/>
    </row>
    <row r="398">
      <c r="A398" s="29">
        <f>IFERROR(__xludf.DUMMYFUNCTION("""COMPUTED_VALUE"""),394.0)</f>
        <v>394</v>
      </c>
      <c r="B398" s="7" t="str">
        <f>IFERROR(__xludf.DUMMYFUNCTION("""COMPUTED_VALUE"""),"Vor mehr als 30 Tagen")</f>
        <v>Vor mehr als 30 Tagen</v>
      </c>
      <c r="C398" s="7" t="str">
        <f>IFERROR(__xludf.DUMMYFUNCTION("""COMPUTED_VALUE"""),"Data Engineer (m/f/d)")</f>
        <v>Data Engineer (m/f/d)</v>
      </c>
      <c r="D398" s="7" t="str">
        <f>IFERROR(__xludf.DUMMYFUNCTION("""COMPUTED_VALUE"""),"Köln")</f>
        <v>Köln</v>
      </c>
      <c r="E398" s="7" t="str">
        <f>IFERROR(__xludf.DUMMYFUNCTION("""COMPUTED_VALUE"""),"HRS Group")</f>
        <v>HRS Group</v>
      </c>
      <c r="F398" s="7" t="str">
        <f>IFERROR(__xludf.DUMMYFUNCTION("""COMPUTED_VALUE"""),"None")</f>
        <v>None</v>
      </c>
      <c r="G398" s="7" t="str">
        <f>IFERROR(__xludf.DUMMYFUNCTION("""COMPUTED_VALUE"""),"No salary data")</f>
        <v>No salary data</v>
      </c>
      <c r="H398" s="7" t="str">
        <f>IFERROR(__xludf.DUMMYFUNCTION("""COMPUTED_VALUE"""),"No salary data")</f>
        <v>No salary data</v>
      </c>
      <c r="I398" s="7" t="str">
        <f>IFERROR(__xludf.DUMMYFUNCTION("""COMPUTED_VALUE"""),"No salary data")</f>
        <v>No salary data</v>
      </c>
      <c r="J398" s="7" t="str">
        <f>IFERROR(__xludf.DUMMYFUNCTION("""COMPUTED_VALUE"""),"Python, Excel")</f>
        <v>Python, Excel</v>
      </c>
      <c r="K398" s="7" t="str">
        <f>IFERROR(__xludf.DUMMYFUNCTION("""COMPUTED_VALUE"""),"No job type data")</f>
        <v>No job type data</v>
      </c>
      <c r="L398" s="7" t="str">
        <f>IFERROR(__xludf.DUMMYFUNCTION("""COMPUTED_VALUE"""),"None")</f>
        <v>None</v>
      </c>
      <c r="M398" s="7"/>
      <c r="N398" s="7"/>
      <c r="O398" s="7"/>
    </row>
    <row r="399">
      <c r="A399" s="29">
        <f>IFERROR(__xludf.DUMMYFUNCTION("""COMPUTED_VALUE"""),395.0)</f>
        <v>395</v>
      </c>
      <c r="B399" s="7" t="str">
        <f>IFERROR(__xludf.DUMMYFUNCTION("""COMPUTED_VALUE"""),"vor 16 Tagen")</f>
        <v>vor 16 Tagen</v>
      </c>
      <c r="C399" s="7" t="str">
        <f>IFERROR(__xludf.DUMMYFUNCTION("""COMPUTED_VALUE"""),"Data Scientist (m/f/x)")</f>
        <v>Data Scientist (m/f/x)</v>
      </c>
      <c r="D399" s="7" t="str">
        <f>IFERROR(__xludf.DUMMYFUNCTION("""COMPUTED_VALUE"""),"Berlin-Kreuzberg")</f>
        <v>Berlin-Kreuzberg</v>
      </c>
      <c r="E399" s="7" t="str">
        <f>IFERROR(__xludf.DUMMYFUNCTION("""COMPUTED_VALUE"""),"Trade Republic Bank GmbH")</f>
        <v>Trade Republic Bank GmbH</v>
      </c>
      <c r="F399" s="7" t="str">
        <f>IFERROR(__xludf.DUMMYFUNCTION("""COMPUTED_VALUE"""),"None")</f>
        <v>None</v>
      </c>
      <c r="G399" s="7" t="str">
        <f>IFERROR(__xludf.DUMMYFUNCTION("""COMPUTED_VALUE"""),"No salary data")</f>
        <v>No salary data</v>
      </c>
      <c r="H399" s="7" t="str">
        <f>IFERROR(__xludf.DUMMYFUNCTION("""COMPUTED_VALUE"""),"No salary data")</f>
        <v>No salary data</v>
      </c>
      <c r="I399" s="7" t="str">
        <f>IFERROR(__xludf.DUMMYFUNCTION("""COMPUTED_VALUE"""),"No salary data")</f>
        <v>No salary data</v>
      </c>
      <c r="J399" s="7" t="str">
        <f>IFERROR(__xludf.DUMMYFUNCTION("""COMPUTED_VALUE"""),"Python, Machine Learning, Statistic")</f>
        <v>Python, Machine Learning, Statistic</v>
      </c>
      <c r="K399" s="7" t="str">
        <f>IFERROR(__xludf.DUMMYFUNCTION("""COMPUTED_VALUE"""),"No job type data")</f>
        <v>No job type data</v>
      </c>
      <c r="L399" s="7" t="str">
        <f>IFERROR(__xludf.DUMMYFUNCTION("""COMPUTED_VALUE"""),"None")</f>
        <v>None</v>
      </c>
      <c r="M399" s="7"/>
      <c r="N399" s="7"/>
      <c r="O399" s="7"/>
    </row>
    <row r="400">
      <c r="A400" s="29">
        <f>IFERROR(__xludf.DUMMYFUNCTION("""COMPUTED_VALUE"""),396.0)</f>
        <v>396</v>
      </c>
      <c r="B400" s="7" t="str">
        <f>IFERROR(__xludf.DUMMYFUNCTION("""COMPUTED_VALUE"""),"vor 26 Tagen")</f>
        <v>vor 26 Tagen</v>
      </c>
      <c r="C400" s="7" t="str">
        <f>IFERROR(__xludf.DUMMYFUNCTION("""COMPUTED_VALUE"""),"Working Student - Pricing &amp; Market Making - Business Analyse...")</f>
        <v>Working Student - Pricing &amp; Market Making - Business Analyse...</v>
      </c>
      <c r="D400" s="7" t="str">
        <f>IFERROR(__xludf.DUMMYFUNCTION("""COMPUTED_VALUE"""),"Frankfurt am Main")</f>
        <v>Frankfurt am Main</v>
      </c>
      <c r="E400" s="7" t="str">
        <f>IFERROR(__xludf.DUMMYFUNCTION("""COMPUTED_VALUE"""),"Deutsche Börse")</f>
        <v>Deutsche Börse</v>
      </c>
      <c r="F400" s="7" t="str">
        <f>IFERROR(__xludf.DUMMYFUNCTION("""COMPUTED_VALUE"""),"None")</f>
        <v>None</v>
      </c>
      <c r="G400" s="7" t="str">
        <f>IFERROR(__xludf.DUMMYFUNCTION("""COMPUTED_VALUE"""),"No salary data")</f>
        <v>No salary data</v>
      </c>
      <c r="H400" s="7" t="str">
        <f>IFERROR(__xludf.DUMMYFUNCTION("""COMPUTED_VALUE"""),"No salary data")</f>
        <v>No salary data</v>
      </c>
      <c r="I400" s="7" t="str">
        <f>IFERROR(__xludf.DUMMYFUNCTION("""COMPUTED_VALUE"""),"No salary data")</f>
        <v>No salary data</v>
      </c>
      <c r="J400" s="7" t="str">
        <f>IFERROR(__xludf.DUMMYFUNCTION("""COMPUTED_VALUE"""),"Python, SQL, Excel, Statistic")</f>
        <v>Python, SQL, Excel, Statistic</v>
      </c>
      <c r="K400" s="7" t="str">
        <f>IFERROR(__xludf.DUMMYFUNCTION("""COMPUTED_VALUE"""),"No job type data")</f>
        <v>No job type data</v>
      </c>
      <c r="L400" s="7" t="str">
        <f>IFERROR(__xludf.DUMMYFUNCTION("""COMPUTED_VALUE"""),"4,9")</f>
        <v>4,9</v>
      </c>
      <c r="M400" s="7"/>
      <c r="N400" s="7"/>
      <c r="O400" s="7"/>
    </row>
    <row r="401">
      <c r="A401" s="29">
        <f>IFERROR(__xludf.DUMMYFUNCTION("""COMPUTED_VALUE"""),397.0)</f>
        <v>397</v>
      </c>
      <c r="B401" s="7" t="str">
        <f>IFERROR(__xludf.DUMMYFUNCTION("""COMPUTED_VALUE"""),"vor 7 Tagen")</f>
        <v>vor 7 Tagen</v>
      </c>
      <c r="C401" s="7" t="str">
        <f>IFERROR(__xludf.DUMMYFUNCTION("""COMPUTED_VALUE"""),"Artificial Intelligence Expert")</f>
        <v>Artificial Intelligence Expert</v>
      </c>
      <c r="D401" s="7" t="str">
        <f>IFERROR(__xludf.DUMMYFUNCTION("""COMPUTED_VALUE"""),"Berlin")</f>
        <v>Berlin</v>
      </c>
      <c r="E401" s="7" t="str">
        <f>IFERROR(__xludf.DUMMYFUNCTION("""COMPUTED_VALUE"""),"Alldus")</f>
        <v>Alldus</v>
      </c>
      <c r="F401" s="7" t="str">
        <f>IFERROR(__xludf.DUMMYFUNCTION("""COMPUTED_VALUE"""),"None")</f>
        <v>None</v>
      </c>
      <c r="G401" s="7" t="str">
        <f>IFERROR(__xludf.DUMMYFUNCTION("""COMPUTED_VALUE"""),"No salary data")</f>
        <v>No salary data</v>
      </c>
      <c r="H401" s="7" t="str">
        <f>IFERROR(__xludf.DUMMYFUNCTION("""COMPUTED_VALUE"""),"No salary data")</f>
        <v>No salary data</v>
      </c>
      <c r="I401" s="7" t="str">
        <f>IFERROR(__xludf.DUMMYFUNCTION("""COMPUTED_VALUE"""),"No salary data")</f>
        <v>No salary data</v>
      </c>
      <c r="J401" s="7" t="str">
        <f>IFERROR(__xludf.DUMMYFUNCTION("""COMPUTED_VALUE"""),"Machine Learning")</f>
        <v>Machine Learning</v>
      </c>
      <c r="K401" s="7" t="str">
        <f>IFERROR(__xludf.DUMMYFUNCTION("""COMPUTED_VALUE"""),"Permanent")</f>
        <v>Permanent</v>
      </c>
      <c r="L401" s="7" t="str">
        <f>IFERROR(__xludf.DUMMYFUNCTION("""COMPUTED_VALUE"""),"None")</f>
        <v>None</v>
      </c>
      <c r="M401" s="7"/>
      <c r="N401" s="7"/>
      <c r="O401" s="7"/>
    </row>
    <row r="402">
      <c r="A402" s="29">
        <f>IFERROR(__xludf.DUMMYFUNCTION("""COMPUTED_VALUE"""),398.0)</f>
        <v>398</v>
      </c>
      <c r="B402" s="7" t="str">
        <f>IFERROR(__xludf.DUMMYFUNCTION("""COMPUTED_VALUE"""),"Vor mehr als 30 Tagen")</f>
        <v>Vor mehr als 30 Tagen</v>
      </c>
      <c r="C402" s="7" t="str">
        <f>IFERROR(__xludf.DUMMYFUNCTION("""COMPUTED_VALUE"""),"Intern/Working Student Data Science / Business Analytics Con...")</f>
        <v>Intern/Working Student Data Science / Business Analytics Con...</v>
      </c>
      <c r="D402" s="7" t="str">
        <f>IFERROR(__xludf.DUMMYFUNCTION("""COMPUTED_VALUE"""),"München")</f>
        <v>München</v>
      </c>
      <c r="E402" s="7" t="str">
        <f>IFERROR(__xludf.DUMMYFUNCTION("""COMPUTED_VALUE"""),"Celonis")</f>
        <v>Celonis</v>
      </c>
      <c r="F402" s="7" t="str">
        <f>IFERROR(__xludf.DUMMYFUNCTION("""COMPUTED_VALUE"""),"None")</f>
        <v>None</v>
      </c>
      <c r="G402" s="7" t="str">
        <f>IFERROR(__xludf.DUMMYFUNCTION("""COMPUTED_VALUE"""),"No salary data")</f>
        <v>No salary data</v>
      </c>
      <c r="H402" s="7" t="str">
        <f>IFERROR(__xludf.DUMMYFUNCTION("""COMPUTED_VALUE"""),"No salary data")</f>
        <v>No salary data</v>
      </c>
      <c r="I402" s="7" t="str">
        <f>IFERROR(__xludf.DUMMYFUNCTION("""COMPUTED_VALUE"""),"No salary data")</f>
        <v>No salary data</v>
      </c>
      <c r="J402" s="7" t="str">
        <f>IFERROR(__xludf.DUMMYFUNCTION("""COMPUTED_VALUE"""),"SQL, Git")</f>
        <v>SQL, Git</v>
      </c>
      <c r="K402" s="7" t="str">
        <f>IFERROR(__xludf.DUMMYFUNCTION("""COMPUTED_VALUE"""),"Full-Time")</f>
        <v>Full-Time</v>
      </c>
      <c r="L402" s="7" t="str">
        <f>IFERROR(__xludf.DUMMYFUNCTION("""COMPUTED_VALUE"""),"4,3")</f>
        <v>4,3</v>
      </c>
      <c r="M402" s="7"/>
      <c r="N402" s="7"/>
      <c r="O402" s="7"/>
    </row>
    <row r="403">
      <c r="A403" s="29">
        <f>IFERROR(__xludf.DUMMYFUNCTION("""COMPUTED_VALUE"""),399.0)</f>
        <v>399</v>
      </c>
      <c r="B403" s="7" t="str">
        <f>IFERROR(__xludf.DUMMYFUNCTION("""COMPUTED_VALUE"""),"Vor mehr als 30 Tagen")</f>
        <v>Vor mehr als 30 Tagen</v>
      </c>
      <c r="C403" s="7" t="str">
        <f>IFERROR(__xludf.DUMMYFUNCTION("""COMPUTED_VALUE"""),"Reporting Analyst (m/w/d)")</f>
        <v>Reporting Analyst (m/w/d)</v>
      </c>
      <c r="D403" s="7" t="str">
        <f>IFERROR(__xludf.DUMMYFUNCTION("""COMPUTED_VALUE"""),"Eschborn")</f>
        <v>Eschborn</v>
      </c>
      <c r="E403" s="7" t="str">
        <f>IFERROR(__xludf.DUMMYFUNCTION("""COMPUTED_VALUE"""),"Concardis GmbH")</f>
        <v>Concardis GmbH</v>
      </c>
      <c r="F403" s="7" t="str">
        <f>IFERROR(__xludf.DUMMYFUNCTION("""COMPUTED_VALUE"""),"None")</f>
        <v>None</v>
      </c>
      <c r="G403" s="7" t="str">
        <f>IFERROR(__xludf.DUMMYFUNCTION("""COMPUTED_VALUE"""),"No salary data")</f>
        <v>No salary data</v>
      </c>
      <c r="H403" s="7" t="str">
        <f>IFERROR(__xludf.DUMMYFUNCTION("""COMPUTED_VALUE"""),"No salary data")</f>
        <v>No salary data</v>
      </c>
      <c r="I403" s="7" t="str">
        <f>IFERROR(__xludf.DUMMYFUNCTION("""COMPUTED_VALUE"""),"No salary data")</f>
        <v>No salary data</v>
      </c>
      <c r="J403" s="7" t="str">
        <f>IFERROR(__xludf.DUMMYFUNCTION("""COMPUTED_VALUE"""),"Git, Agile")</f>
        <v>Git, Agile</v>
      </c>
      <c r="K403" s="7" t="str">
        <f>IFERROR(__xludf.DUMMYFUNCTION("""COMPUTED_VALUE"""),"No job type data")</f>
        <v>No job type data</v>
      </c>
      <c r="L403" s="7" t="str">
        <f>IFERROR(__xludf.DUMMYFUNCTION("""COMPUTED_VALUE"""),"2,8")</f>
        <v>2,8</v>
      </c>
      <c r="M403" s="7"/>
      <c r="N403" s="7"/>
      <c r="O403" s="7"/>
    </row>
    <row r="404">
      <c r="A404" s="29">
        <f>IFERROR(__xludf.DUMMYFUNCTION("""COMPUTED_VALUE"""),400.0)</f>
        <v>400</v>
      </c>
      <c r="B404" s="7" t="str">
        <f>IFERROR(__xludf.DUMMYFUNCTION("""COMPUTED_VALUE"""),"Vor mehr als 30 Tagen")</f>
        <v>Vor mehr als 30 Tagen</v>
      </c>
      <c r="C404" s="7" t="str">
        <f>IFERROR(__xludf.DUMMYFUNCTION("""COMPUTED_VALUE"""),"Marketing Analyst (f/m/d)")</f>
        <v>Marketing Analyst (f/m/d)</v>
      </c>
      <c r="D404" s="7" t="str">
        <f>IFERROR(__xludf.DUMMYFUNCTION("""COMPUTED_VALUE"""),"Berlin")</f>
        <v>Berlin</v>
      </c>
      <c r="E404" s="7" t="str">
        <f>IFERROR(__xludf.DUMMYFUNCTION("""COMPUTED_VALUE"""),"Delivery Hero")</f>
        <v>Delivery Hero</v>
      </c>
      <c r="F404" s="7" t="str">
        <f>IFERROR(__xludf.DUMMYFUNCTION("""COMPUTED_VALUE"""),"None")</f>
        <v>None</v>
      </c>
      <c r="G404" s="7" t="str">
        <f>IFERROR(__xludf.DUMMYFUNCTION("""COMPUTED_VALUE"""),"No salary data")</f>
        <v>No salary data</v>
      </c>
      <c r="H404" s="7" t="str">
        <f>IFERROR(__xludf.DUMMYFUNCTION("""COMPUTED_VALUE"""),"No salary data")</f>
        <v>No salary data</v>
      </c>
      <c r="I404" s="7" t="str">
        <f>IFERROR(__xludf.DUMMYFUNCTION("""COMPUTED_VALUE"""),"No salary data")</f>
        <v>No salary data</v>
      </c>
      <c r="J404" s="7" t="str">
        <f>IFERROR(__xludf.DUMMYFUNCTION("""COMPUTED_VALUE"""),"Python, SQL, Tableau, Excel, Statistic")</f>
        <v>Python, SQL, Tableau, Excel, Statistic</v>
      </c>
      <c r="K404" s="7" t="str">
        <f>IFERROR(__xludf.DUMMYFUNCTION("""COMPUTED_VALUE"""),"No job type data")</f>
        <v>No job type data</v>
      </c>
      <c r="L404" s="7" t="str">
        <f>IFERROR(__xludf.DUMMYFUNCTION("""COMPUTED_VALUE"""),"3,7")</f>
        <v>3,7</v>
      </c>
      <c r="M404" s="7"/>
      <c r="N404" s="7"/>
      <c r="O404" s="7"/>
    </row>
    <row r="405">
      <c r="A405" s="29">
        <f>IFERROR(__xludf.DUMMYFUNCTION("""COMPUTED_VALUE"""),401.0)</f>
        <v>401</v>
      </c>
      <c r="B405" s="7" t="str">
        <f>IFERROR(__xludf.DUMMYFUNCTION("""COMPUTED_VALUE"""),"Vor mehr als 30 Tagen")</f>
        <v>Vor mehr als 30 Tagen</v>
      </c>
      <c r="C405" s="7" t="str">
        <f>IFERROR(__xludf.DUMMYFUNCTION("""COMPUTED_VALUE"""),"Data Scientist Pricing (f/m/d)")</f>
        <v>Data Scientist Pricing (f/m/d)</v>
      </c>
      <c r="D405" s="7" t="str">
        <f>IFERROR(__xludf.DUMMYFUNCTION("""COMPUTED_VALUE"""),"Berlin")</f>
        <v>Berlin</v>
      </c>
      <c r="E405" s="7" t="str">
        <f>IFERROR(__xludf.DUMMYFUNCTION("""COMPUTED_VALUE"""),"SHARE NOW")</f>
        <v>SHARE NOW</v>
      </c>
      <c r="F405" s="7" t="str">
        <f>IFERROR(__xludf.DUMMYFUNCTION("""COMPUTED_VALUE"""),"None")</f>
        <v>None</v>
      </c>
      <c r="G405" s="7" t="str">
        <f>IFERROR(__xludf.DUMMYFUNCTION("""COMPUTED_VALUE"""),"No salary data")</f>
        <v>No salary data</v>
      </c>
      <c r="H405" s="7" t="str">
        <f>IFERROR(__xludf.DUMMYFUNCTION("""COMPUTED_VALUE"""),"No salary data")</f>
        <v>No salary data</v>
      </c>
      <c r="I405" s="7" t="str">
        <f>IFERROR(__xludf.DUMMYFUNCTION("""COMPUTED_VALUE"""),"No salary data")</f>
        <v>No salary data</v>
      </c>
      <c r="J405" s="7" t="str">
        <f>IFERROR(__xludf.DUMMYFUNCTION("""COMPUTED_VALUE"""),"Python, Tableau, Statistic, Agile")</f>
        <v>Python, Tableau, Statistic, Agile</v>
      </c>
      <c r="K405" s="7" t="str">
        <f>IFERROR(__xludf.DUMMYFUNCTION("""COMPUTED_VALUE"""),"No job type data")</f>
        <v>No job type data</v>
      </c>
      <c r="L405" s="7" t="str">
        <f>IFERROR(__xludf.DUMMYFUNCTION("""COMPUTED_VALUE"""),"None")</f>
        <v>None</v>
      </c>
      <c r="M405" s="7"/>
      <c r="N405" s="7"/>
      <c r="O405" s="7"/>
    </row>
    <row r="406">
      <c r="A406" s="29">
        <f>IFERROR(__xludf.DUMMYFUNCTION("""COMPUTED_VALUE"""),402.0)</f>
        <v>402</v>
      </c>
      <c r="B406" s="7" t="str">
        <f>IFERROR(__xludf.DUMMYFUNCTION("""COMPUTED_VALUE"""),"Vor mehr als 30 Tagen")</f>
        <v>Vor mehr als 30 Tagen</v>
      </c>
      <c r="C406" s="7" t="str">
        <f>IFERROR(__xludf.DUMMYFUNCTION("""COMPUTED_VALUE"""),"(Senior) Data Analyst/-Engineer")</f>
        <v>(Senior) Data Analyst/-Engineer</v>
      </c>
      <c r="D406" s="7" t="str">
        <f>IFERROR(__xludf.DUMMYFUNCTION("""COMPUTED_VALUE"""),"München")</f>
        <v>München</v>
      </c>
      <c r="E406" s="7" t="str">
        <f>IFERROR(__xludf.DUMMYFUNCTION("""COMPUTED_VALUE"""),"VEACT GmbH")</f>
        <v>VEACT GmbH</v>
      </c>
      <c r="F406" s="7" t="str">
        <f>IFERROR(__xludf.DUMMYFUNCTION("""COMPUTED_VALUE"""),"None")</f>
        <v>None</v>
      </c>
      <c r="G406" s="7" t="str">
        <f>IFERROR(__xludf.DUMMYFUNCTION("""COMPUTED_VALUE"""),"No salary data")</f>
        <v>No salary data</v>
      </c>
      <c r="H406" s="7" t="str">
        <f>IFERROR(__xludf.DUMMYFUNCTION("""COMPUTED_VALUE"""),"No salary data")</f>
        <v>No salary data</v>
      </c>
      <c r="I406" s="7" t="str">
        <f>IFERROR(__xludf.DUMMYFUNCTION("""COMPUTED_VALUE"""),"No salary data")</f>
        <v>No salary data</v>
      </c>
      <c r="J406" s="7" t="str">
        <f>IFERROR(__xludf.DUMMYFUNCTION("""COMPUTED_VALUE"""),"Python, SQL, Tableau, Excel, Statistic")</f>
        <v>Python, SQL, Tableau, Excel, Statistic</v>
      </c>
      <c r="K406" s="7" t="str">
        <f>IFERROR(__xludf.DUMMYFUNCTION("""COMPUTED_VALUE"""),"No job type data")</f>
        <v>No job type data</v>
      </c>
      <c r="L406" s="7" t="str">
        <f>IFERROR(__xludf.DUMMYFUNCTION("""COMPUTED_VALUE"""),"None")</f>
        <v>None</v>
      </c>
      <c r="M406" s="7"/>
      <c r="N406" s="7"/>
      <c r="O406" s="7"/>
    </row>
    <row r="407">
      <c r="A407" s="29">
        <f>IFERROR(__xludf.DUMMYFUNCTION("""COMPUTED_VALUE"""),403.0)</f>
        <v>403</v>
      </c>
      <c r="B407" s="7" t="str">
        <f>IFERROR(__xludf.DUMMYFUNCTION("""COMPUTED_VALUE"""),"Vor mehr als 30 Tagen")</f>
        <v>Vor mehr als 30 Tagen</v>
      </c>
      <c r="C407" s="7" t="str">
        <f>IFERROR(__xludf.DUMMYFUNCTION("""COMPUTED_VALUE"""),"Data Integrator w/ TS Clearance")</f>
        <v>Data Integrator w/ TS Clearance</v>
      </c>
      <c r="D407" s="7" t="str">
        <f>IFERROR(__xludf.DUMMYFUNCTION("""COMPUTED_VALUE"""),"Stuttgart")</f>
        <v>Stuttgart</v>
      </c>
      <c r="E407" s="7" t="str">
        <f>IFERROR(__xludf.DUMMYFUNCTION("""COMPUTED_VALUE"""),"Axiologic Solutions")</f>
        <v>Axiologic Solutions</v>
      </c>
      <c r="F407" s="7" t="str">
        <f>IFERROR(__xludf.DUMMYFUNCTION("""COMPUTED_VALUE"""),"None")</f>
        <v>None</v>
      </c>
      <c r="G407" s="7" t="str">
        <f>IFERROR(__xludf.DUMMYFUNCTION("""COMPUTED_VALUE"""),"No salary data")</f>
        <v>No salary data</v>
      </c>
      <c r="H407" s="7" t="str">
        <f>IFERROR(__xludf.DUMMYFUNCTION("""COMPUTED_VALUE"""),"No salary data")</f>
        <v>No salary data</v>
      </c>
      <c r="I407" s="7" t="str">
        <f>IFERROR(__xludf.DUMMYFUNCTION("""COMPUTED_VALUE"""),"No salary data")</f>
        <v>No salary data</v>
      </c>
      <c r="J407" s="7"/>
      <c r="K407" s="7" t="str">
        <f>IFERROR(__xludf.DUMMYFUNCTION("""COMPUTED_VALUE"""),"Contract")</f>
        <v>Contract</v>
      </c>
      <c r="L407" s="7" t="str">
        <f>IFERROR(__xludf.DUMMYFUNCTION("""COMPUTED_VALUE"""),"None")</f>
        <v>None</v>
      </c>
      <c r="M407" s="7"/>
      <c r="N407" s="7"/>
      <c r="O407" s="7"/>
    </row>
    <row r="408">
      <c r="A408" s="29">
        <f>IFERROR(__xludf.DUMMYFUNCTION("""COMPUTED_VALUE"""),404.0)</f>
        <v>404</v>
      </c>
      <c r="B408" s="7" t="str">
        <f>IFERROR(__xludf.DUMMYFUNCTION("""COMPUTED_VALUE"""),"Vor mehr als 30 Tagen")</f>
        <v>Vor mehr als 30 Tagen</v>
      </c>
      <c r="C408" s="7" t="str">
        <f>IFERROR(__xludf.DUMMYFUNCTION("""COMPUTED_VALUE"""),"Data &amp; AI Engineer (w/m/d)")</f>
        <v>Data &amp; AI Engineer (w/m/d)</v>
      </c>
      <c r="D408" s="7" t="str">
        <f>IFERROR(__xludf.DUMMYFUNCTION("""COMPUTED_VALUE"""),"Frankfurt am Main")</f>
        <v>Frankfurt am Main</v>
      </c>
      <c r="E408" s="7" t="str">
        <f>IFERROR(__xludf.DUMMYFUNCTION("""COMPUTED_VALUE"""),"Synbionik GmbH")</f>
        <v>Synbionik GmbH</v>
      </c>
      <c r="F408" s="7" t="str">
        <f>IFERROR(__xludf.DUMMYFUNCTION("""COMPUTED_VALUE"""),"None")</f>
        <v>None</v>
      </c>
      <c r="G408" s="7" t="str">
        <f>IFERROR(__xludf.DUMMYFUNCTION("""COMPUTED_VALUE"""),"No salary data")</f>
        <v>No salary data</v>
      </c>
      <c r="H408" s="7" t="str">
        <f>IFERROR(__xludf.DUMMYFUNCTION("""COMPUTED_VALUE"""),"No salary data")</f>
        <v>No salary data</v>
      </c>
      <c r="I408" s="7" t="str">
        <f>IFERROR(__xludf.DUMMYFUNCTION("""COMPUTED_VALUE"""),"No salary data")</f>
        <v>No salary data</v>
      </c>
      <c r="J408" s="7" t="str">
        <f>IFERROR(__xludf.DUMMYFUNCTION("""COMPUTED_VALUE"""),"Python, Machine Learning, Deep Learning")</f>
        <v>Python, Machine Learning, Deep Learning</v>
      </c>
      <c r="K408" s="7" t="str">
        <f>IFERROR(__xludf.DUMMYFUNCTION("""COMPUTED_VALUE"""),"No job type data")</f>
        <v>No job type data</v>
      </c>
      <c r="L408" s="7" t="str">
        <f>IFERROR(__xludf.DUMMYFUNCTION("""COMPUTED_VALUE"""),"None")</f>
        <v>None</v>
      </c>
      <c r="M408" s="7"/>
      <c r="N408" s="7"/>
      <c r="O408" s="7"/>
    </row>
    <row r="409">
      <c r="A409" s="29">
        <f>IFERROR(__xludf.DUMMYFUNCTION("""COMPUTED_VALUE"""),405.0)</f>
        <v>405</v>
      </c>
      <c r="B409" s="7" t="str">
        <f>IFERROR(__xludf.DUMMYFUNCTION("""COMPUTED_VALUE"""),"Vor mehr als 30 Tagen")</f>
        <v>Vor mehr als 30 Tagen</v>
      </c>
      <c r="C409" s="7" t="str">
        <f>IFERROR(__xludf.DUMMYFUNCTION("""COMPUTED_VALUE"""),"Data Centre Engineer (m/f/d) – Career Transition Programme")</f>
        <v>Data Centre Engineer (m/f/d) – Career Transition Programme</v>
      </c>
      <c r="D409" s="7" t="str">
        <f>IFERROR(__xludf.DUMMYFUNCTION("""COMPUTED_VALUE"""),"Frankfurt am Main")</f>
        <v>Frankfurt am Main</v>
      </c>
      <c r="E409" s="7" t="str">
        <f>IFERROR(__xludf.DUMMYFUNCTION("""COMPUTED_VALUE"""),"Equinix")</f>
        <v>Equinix</v>
      </c>
      <c r="F409" s="7" t="str">
        <f>IFERROR(__xludf.DUMMYFUNCTION("""COMPUTED_VALUE"""),"None")</f>
        <v>None</v>
      </c>
      <c r="G409" s="7" t="str">
        <f>IFERROR(__xludf.DUMMYFUNCTION("""COMPUTED_VALUE"""),"No salary data")</f>
        <v>No salary data</v>
      </c>
      <c r="H409" s="7" t="str">
        <f>IFERROR(__xludf.DUMMYFUNCTION("""COMPUTED_VALUE"""),"No salary data")</f>
        <v>No salary data</v>
      </c>
      <c r="I409" s="7" t="str">
        <f>IFERROR(__xludf.DUMMYFUNCTION("""COMPUTED_VALUE"""),"No salary data")</f>
        <v>No salary data</v>
      </c>
      <c r="J409" s="7"/>
      <c r="K409" s="7" t="str">
        <f>IFERROR(__xludf.DUMMYFUNCTION("""COMPUTED_VALUE"""),"No job type data")</f>
        <v>No job type data</v>
      </c>
      <c r="L409" s="7" t="str">
        <f>IFERROR(__xludf.DUMMYFUNCTION("""COMPUTED_VALUE"""),"3,8")</f>
        <v>3,8</v>
      </c>
      <c r="M409" s="7"/>
      <c r="N409" s="7"/>
      <c r="O409" s="7"/>
    </row>
    <row r="410">
      <c r="A410" s="29">
        <f>IFERROR(__xludf.DUMMYFUNCTION("""COMPUTED_VALUE"""),406.0)</f>
        <v>406</v>
      </c>
      <c r="B410" s="7" t="str">
        <f>IFERROR(__xludf.DUMMYFUNCTION("""COMPUTED_VALUE"""),"Vor mehr als 30 Tagen")</f>
        <v>Vor mehr als 30 Tagen</v>
      </c>
      <c r="C410" s="7" t="str">
        <f>IFERROR(__xludf.DUMMYFUNCTION("""COMPUTED_VALUE"""),"biGenius™ - Business Intelligence Consultant (m/w/d)")</f>
        <v>biGenius™ - Business Intelligence Consultant (m/w/d)</v>
      </c>
      <c r="D410" s="7" t="str">
        <f>IFERROR(__xludf.DUMMYFUNCTION("""COMPUTED_VALUE"""),"Frankfurt am Main")</f>
        <v>Frankfurt am Main</v>
      </c>
      <c r="E410" s="7" t="str">
        <f>IFERROR(__xludf.DUMMYFUNCTION("""COMPUTED_VALUE"""),"Trivadis")</f>
        <v>Trivadis</v>
      </c>
      <c r="F410" s="7" t="str">
        <f>IFERROR(__xludf.DUMMYFUNCTION("""COMPUTED_VALUE"""),"None")</f>
        <v>None</v>
      </c>
      <c r="G410" s="7" t="str">
        <f>IFERROR(__xludf.DUMMYFUNCTION("""COMPUTED_VALUE"""),"No salary data")</f>
        <v>No salary data</v>
      </c>
      <c r="H410" s="7" t="str">
        <f>IFERROR(__xludf.DUMMYFUNCTION("""COMPUTED_VALUE"""),"No salary data")</f>
        <v>No salary data</v>
      </c>
      <c r="I410" s="7" t="str">
        <f>IFERROR(__xludf.DUMMYFUNCTION("""COMPUTED_VALUE"""),"No salary data")</f>
        <v>No salary data</v>
      </c>
      <c r="J410" s="7" t="str">
        <f>IFERROR(__xludf.DUMMYFUNCTION("""COMPUTED_VALUE"""),"Git")</f>
        <v>Git</v>
      </c>
      <c r="K410" s="7" t="str">
        <f>IFERROR(__xludf.DUMMYFUNCTION("""COMPUTED_VALUE"""),"No job type data")</f>
        <v>No job type data</v>
      </c>
      <c r="L410" s="7" t="str">
        <f>IFERROR(__xludf.DUMMYFUNCTION("""COMPUTED_VALUE"""),"None")</f>
        <v>None</v>
      </c>
      <c r="M410" s="7"/>
      <c r="N410" s="7"/>
      <c r="O410" s="7"/>
    </row>
    <row r="411">
      <c r="A411" s="29">
        <f>IFERROR(__xludf.DUMMYFUNCTION("""COMPUTED_VALUE"""),407.0)</f>
        <v>407</v>
      </c>
      <c r="B411" s="7" t="str">
        <f>IFERROR(__xludf.DUMMYFUNCTION("""COMPUTED_VALUE"""),"Vor mehr als 30 Tagen")</f>
        <v>Vor mehr als 30 Tagen</v>
      </c>
      <c r="C411" s="7" t="str">
        <f>IFERROR(__xludf.DUMMYFUNCTION("""COMPUTED_VALUE"""),"BI Analyst")</f>
        <v>BI Analyst</v>
      </c>
      <c r="D411" s="7" t="str">
        <f>IFERROR(__xludf.DUMMYFUNCTION("""COMPUTED_VALUE"""),"Köln")</f>
        <v>Köln</v>
      </c>
      <c r="E411" s="7" t="str">
        <f>IFERROR(__xludf.DUMMYFUNCTION("""COMPUTED_VALUE"""),"Flint Data")</f>
        <v>Flint Data</v>
      </c>
      <c r="F411" s="7" t="str">
        <f>IFERROR(__xludf.DUMMYFUNCTION("""COMPUTED_VALUE"""),"68,000 € - 75,000 € pro Jahr")</f>
        <v>68,000 € - 75,000 € pro Jahr</v>
      </c>
      <c r="G411" s="7">
        <f>IFERROR(__xludf.DUMMYFUNCTION("""COMPUTED_VALUE"""),71500.0)</f>
        <v>71500</v>
      </c>
      <c r="H411" s="7" t="str">
        <f>IFERROR(__xludf.DUMMYFUNCTION("""COMPUTED_VALUE"""),"Jahr")</f>
        <v>Jahr</v>
      </c>
      <c r="I411" s="7">
        <f>IFERROR(__xludf.DUMMYFUNCTION("""COMPUTED_VALUE"""),71500.0)</f>
        <v>71500</v>
      </c>
      <c r="J411" s="7" t="str">
        <f>IFERROR(__xludf.DUMMYFUNCTION("""COMPUTED_VALUE"""),"SQL, Tableau")</f>
        <v>SQL, Tableau</v>
      </c>
      <c r="K411" s="7" t="str">
        <f>IFERROR(__xludf.DUMMYFUNCTION("""COMPUTED_VALUE"""),"No job type data")</f>
        <v>No job type data</v>
      </c>
      <c r="L411" s="7" t="str">
        <f>IFERROR(__xludf.DUMMYFUNCTION("""COMPUTED_VALUE"""),"None")</f>
        <v>None</v>
      </c>
      <c r="M411" s="7"/>
      <c r="N411" s="7"/>
      <c r="O411" s="7"/>
    </row>
    <row r="412">
      <c r="A412" s="29">
        <f>IFERROR(__xludf.DUMMYFUNCTION("""COMPUTED_VALUE"""),408.0)</f>
        <v>408</v>
      </c>
      <c r="B412" s="7" t="str">
        <f>IFERROR(__xludf.DUMMYFUNCTION("""COMPUTED_VALUE"""),"Vor mehr als 30 Tagen")</f>
        <v>Vor mehr als 30 Tagen</v>
      </c>
      <c r="C412" s="7" t="str">
        <f>IFERROR(__xludf.DUMMYFUNCTION("""COMPUTED_VALUE"""),"Data Engineer (m/w/d)")</f>
        <v>Data Engineer (m/w/d)</v>
      </c>
      <c r="D412" s="7" t="str">
        <f>IFERROR(__xludf.DUMMYFUNCTION("""COMPUTED_VALUE"""),"Landsberg")</f>
        <v>Landsberg</v>
      </c>
      <c r="E412" s="7" t="str">
        <f>IFERROR(__xludf.DUMMYFUNCTION("""COMPUTED_VALUE"""),"Modis GmbH")</f>
        <v>Modis GmbH</v>
      </c>
      <c r="F412" s="7" t="str">
        <f>IFERROR(__xludf.DUMMYFUNCTION("""COMPUTED_VALUE"""),"None")</f>
        <v>None</v>
      </c>
      <c r="G412" s="7" t="str">
        <f>IFERROR(__xludf.DUMMYFUNCTION("""COMPUTED_VALUE"""),"No salary data")</f>
        <v>No salary data</v>
      </c>
      <c r="H412" s="7" t="str">
        <f>IFERROR(__xludf.DUMMYFUNCTION("""COMPUTED_VALUE"""),"No salary data")</f>
        <v>No salary data</v>
      </c>
      <c r="I412" s="7" t="str">
        <f>IFERROR(__xludf.DUMMYFUNCTION("""COMPUTED_VALUE"""),"No salary data")</f>
        <v>No salary data</v>
      </c>
      <c r="J412" s="7" t="str">
        <f>IFERROR(__xludf.DUMMYFUNCTION("""COMPUTED_VALUE"""),"Python, SQL, Machine Learning, Linux")</f>
        <v>Python, SQL, Machine Learning, Linux</v>
      </c>
      <c r="K412" s="7" t="str">
        <f>IFERROR(__xludf.DUMMYFUNCTION("""COMPUTED_VALUE"""),"No job type data")</f>
        <v>No job type data</v>
      </c>
      <c r="L412" s="7" t="str">
        <f>IFERROR(__xludf.DUMMYFUNCTION("""COMPUTED_VALUE"""),"3,8")</f>
        <v>3,8</v>
      </c>
      <c r="M412" s="7"/>
      <c r="N412" s="7"/>
      <c r="O412" s="7"/>
    </row>
    <row r="413">
      <c r="A413" s="29">
        <f>IFERROR(__xludf.DUMMYFUNCTION("""COMPUTED_VALUE"""),409.0)</f>
        <v>409</v>
      </c>
      <c r="B413" s="7" t="str">
        <f>IFERROR(__xludf.DUMMYFUNCTION("""COMPUTED_VALUE"""),"vor 4 Tagen")</f>
        <v>vor 4 Tagen</v>
      </c>
      <c r="C413" s="7" t="str">
        <f>IFERROR(__xludf.DUMMYFUNCTION("""COMPUTED_VALUE"""),"Data Management Analyst (m/w/d)")</f>
        <v>Data Management Analyst (m/w/d)</v>
      </c>
      <c r="D413" s="7" t="str">
        <f>IFERROR(__xludf.DUMMYFUNCTION("""COMPUTED_VALUE"""),"Berlin")</f>
        <v>Berlin</v>
      </c>
      <c r="E413" s="7" t="str">
        <f>IFERROR(__xludf.DUMMYFUNCTION("""COMPUTED_VALUE"""),"BASF Services Europe GmbH")</f>
        <v>BASF Services Europe GmbH</v>
      </c>
      <c r="F413" s="7" t="str">
        <f>IFERROR(__xludf.DUMMYFUNCTION("""COMPUTED_VALUE"""),"None")</f>
        <v>None</v>
      </c>
      <c r="G413" s="7" t="str">
        <f>IFERROR(__xludf.DUMMYFUNCTION("""COMPUTED_VALUE"""),"No salary data")</f>
        <v>No salary data</v>
      </c>
      <c r="H413" s="7" t="str">
        <f>IFERROR(__xludf.DUMMYFUNCTION("""COMPUTED_VALUE"""),"No salary data")</f>
        <v>No salary data</v>
      </c>
      <c r="I413" s="7" t="str">
        <f>IFERROR(__xludf.DUMMYFUNCTION("""COMPUTED_VALUE"""),"No salary data")</f>
        <v>No salary data</v>
      </c>
      <c r="J413" s="7" t="str">
        <f>IFERROR(__xludf.DUMMYFUNCTION("""COMPUTED_VALUE"""),"Python, SQL, Git")</f>
        <v>Python, SQL, Git</v>
      </c>
      <c r="K413" s="7" t="str">
        <f>IFERROR(__xludf.DUMMYFUNCTION("""COMPUTED_VALUE"""),"No job type data")</f>
        <v>No job type data</v>
      </c>
      <c r="L413" s="7" t="str">
        <f>IFERROR(__xludf.DUMMYFUNCTION("""COMPUTED_VALUE"""),"4,1")</f>
        <v>4,1</v>
      </c>
      <c r="M413" s="7"/>
      <c r="N413" s="7"/>
      <c r="O413" s="7"/>
    </row>
    <row r="414">
      <c r="A414" s="29">
        <f>IFERROR(__xludf.DUMMYFUNCTION("""COMPUTED_VALUE"""),410.0)</f>
        <v>410</v>
      </c>
      <c r="B414" s="7" t="str">
        <f>IFERROR(__xludf.DUMMYFUNCTION("""COMPUTED_VALUE"""),"Vor mehr als 30 Tagen")</f>
        <v>Vor mehr als 30 Tagen</v>
      </c>
      <c r="C414" s="7" t="str">
        <f>IFERROR(__xludf.DUMMYFUNCTION("""COMPUTED_VALUE"""),"Data engineer business intelligence (M/W/D)")</f>
        <v>Data engineer business intelligence (M/W/D)</v>
      </c>
      <c r="D414" s="7" t="str">
        <f>IFERROR(__xludf.DUMMYFUNCTION("""COMPUTED_VALUE"""),"Darmstadt")</f>
        <v>Darmstadt</v>
      </c>
      <c r="E414" s="7" t="str">
        <f>IFERROR(__xludf.DUMMYFUNCTION("""COMPUTED_VALUE"""),"Process Analytics Factory GmbH")</f>
        <v>Process Analytics Factory GmbH</v>
      </c>
      <c r="F414" s="7" t="str">
        <f>IFERROR(__xludf.DUMMYFUNCTION("""COMPUTED_VALUE"""),"None")</f>
        <v>None</v>
      </c>
      <c r="G414" s="7" t="str">
        <f>IFERROR(__xludf.DUMMYFUNCTION("""COMPUTED_VALUE"""),"No salary data")</f>
        <v>No salary data</v>
      </c>
      <c r="H414" s="7" t="str">
        <f>IFERROR(__xludf.DUMMYFUNCTION("""COMPUTED_VALUE"""),"No salary data")</f>
        <v>No salary data</v>
      </c>
      <c r="I414" s="7" t="str">
        <f>IFERROR(__xludf.DUMMYFUNCTION("""COMPUTED_VALUE"""),"No salary data")</f>
        <v>No salary data</v>
      </c>
      <c r="J414" s="7" t="str">
        <f>IFERROR(__xludf.DUMMYFUNCTION("""COMPUTED_VALUE"""),"SQL, Tableau, Git")</f>
        <v>SQL, Tableau, Git</v>
      </c>
      <c r="K414" s="7" t="str">
        <f>IFERROR(__xludf.DUMMYFUNCTION("""COMPUTED_VALUE"""),"No job type data")</f>
        <v>No job type data</v>
      </c>
      <c r="L414" s="7" t="str">
        <f>IFERROR(__xludf.DUMMYFUNCTION("""COMPUTED_VALUE"""),"None")</f>
        <v>None</v>
      </c>
      <c r="M414" s="7"/>
      <c r="N414" s="7"/>
      <c r="O414" s="7"/>
    </row>
    <row r="415">
      <c r="A415" s="29">
        <f>IFERROR(__xludf.DUMMYFUNCTION("""COMPUTED_VALUE"""),411.0)</f>
        <v>411</v>
      </c>
      <c r="B415" s="7" t="str">
        <f>IFERROR(__xludf.DUMMYFUNCTION("""COMPUTED_VALUE"""),"vor 7 Tagen")</f>
        <v>vor 7 Tagen</v>
      </c>
      <c r="C415" s="7" t="str">
        <f>IFERROR(__xludf.DUMMYFUNCTION("""COMPUTED_VALUE"""),"Werkstudent für Data Engineering im Bereich Supply-Chain-Ana...")</f>
        <v>Werkstudent für Data Engineering im Bereich Supply-Chain-Ana...</v>
      </c>
      <c r="D415" s="7" t="str">
        <f>IFERROR(__xludf.DUMMYFUNCTION("""COMPUTED_VALUE"""),"Ingolstadt")</f>
        <v>Ingolstadt</v>
      </c>
      <c r="E415" s="7" t="str">
        <f>IFERROR(__xludf.DUMMYFUNCTION("""COMPUTED_VALUE"""),"MediaMarktSaturn Technology")</f>
        <v>MediaMarktSaturn Technology</v>
      </c>
      <c r="F415" s="7" t="str">
        <f>IFERROR(__xludf.DUMMYFUNCTION("""COMPUTED_VALUE"""),"None")</f>
        <v>None</v>
      </c>
      <c r="G415" s="7" t="str">
        <f>IFERROR(__xludf.DUMMYFUNCTION("""COMPUTED_VALUE"""),"No salary data")</f>
        <v>No salary data</v>
      </c>
      <c r="H415" s="7" t="str">
        <f>IFERROR(__xludf.DUMMYFUNCTION("""COMPUTED_VALUE"""),"No salary data")</f>
        <v>No salary data</v>
      </c>
      <c r="I415" s="7" t="str">
        <f>IFERROR(__xludf.DUMMYFUNCTION("""COMPUTED_VALUE"""),"No salary data")</f>
        <v>No salary data</v>
      </c>
      <c r="J415" s="7" t="str">
        <f>IFERROR(__xludf.DUMMYFUNCTION("""COMPUTED_VALUE"""),"Python, SQL, Agile")</f>
        <v>Python, SQL, Agile</v>
      </c>
      <c r="K415" s="7" t="str">
        <f>IFERROR(__xludf.DUMMYFUNCTION("""COMPUTED_VALUE"""),"No job type data")</f>
        <v>No job type data</v>
      </c>
      <c r="L415" s="7" t="str">
        <f>IFERROR(__xludf.DUMMYFUNCTION("""COMPUTED_VALUE"""),"None")</f>
        <v>None</v>
      </c>
      <c r="M415" s="7"/>
      <c r="N415" s="7"/>
      <c r="O415" s="7"/>
    </row>
    <row r="416">
      <c r="A416" s="29">
        <f>IFERROR(__xludf.DUMMYFUNCTION("""COMPUTED_VALUE"""),412.0)</f>
        <v>412</v>
      </c>
      <c r="B416" s="7" t="str">
        <f>IFERROR(__xludf.DUMMYFUNCTION("""COMPUTED_VALUE"""),"vor 17 Tagen")</f>
        <v>vor 17 Tagen</v>
      </c>
      <c r="C416" s="7" t="str">
        <f>IFERROR(__xludf.DUMMYFUNCTION("""COMPUTED_VALUE"""),"Data Scientist &amp; Developer:in [m/w/d] | Expert:in für mutige...")</f>
        <v>Data Scientist &amp; Developer:in [m/w/d] | Expert:in für mutige...</v>
      </c>
      <c r="D416" s="7" t="str">
        <f>IFERROR(__xludf.DUMMYFUNCTION("""COMPUTED_VALUE"""),"Dortmund")</f>
        <v>Dortmund</v>
      </c>
      <c r="E416" s="7" t="str">
        <f>IFERROR(__xludf.DUMMYFUNCTION("""COMPUTED_VALUE"""),"WAYS GmbH")</f>
        <v>WAYS GmbH</v>
      </c>
      <c r="F416" s="7" t="str">
        <f>IFERROR(__xludf.DUMMYFUNCTION("""COMPUTED_VALUE"""),"None")</f>
        <v>None</v>
      </c>
      <c r="G416" s="7" t="str">
        <f>IFERROR(__xludf.DUMMYFUNCTION("""COMPUTED_VALUE"""),"No salary data")</f>
        <v>No salary data</v>
      </c>
      <c r="H416" s="7" t="str">
        <f>IFERROR(__xludf.DUMMYFUNCTION("""COMPUTED_VALUE"""),"No salary data")</f>
        <v>No salary data</v>
      </c>
      <c r="I416" s="7" t="str">
        <f>IFERROR(__xludf.DUMMYFUNCTION("""COMPUTED_VALUE"""),"No salary data")</f>
        <v>No salary data</v>
      </c>
      <c r="J416" s="7" t="str">
        <f>IFERROR(__xludf.DUMMYFUNCTION("""COMPUTED_VALUE"""),"Python, Machine Learning, Git, Agile")</f>
        <v>Python, Machine Learning, Git, Agile</v>
      </c>
      <c r="K416" s="7" t="str">
        <f>IFERROR(__xludf.DUMMYFUNCTION("""COMPUTED_VALUE"""),"No job type data")</f>
        <v>No job type data</v>
      </c>
      <c r="L416" s="7" t="str">
        <f>IFERROR(__xludf.DUMMYFUNCTION("""COMPUTED_VALUE"""),"None")</f>
        <v>None</v>
      </c>
      <c r="M416" s="7"/>
      <c r="N416" s="7"/>
      <c r="O416" s="7"/>
    </row>
    <row r="417">
      <c r="A417" s="29">
        <f>IFERROR(__xludf.DUMMYFUNCTION("""COMPUTED_VALUE"""),413.0)</f>
        <v>413</v>
      </c>
      <c r="B417" s="7" t="str">
        <f>IFERROR(__xludf.DUMMYFUNCTION("""COMPUTED_VALUE"""),"Vor mehr als 30 Tagen")</f>
        <v>Vor mehr als 30 Tagen</v>
      </c>
      <c r="C417" s="7" t="str">
        <f>IFERROR(__xludf.DUMMYFUNCTION("""COMPUTED_VALUE"""),"Data Analyst/Power BI Specialist (m/f/d)")</f>
        <v>Data Analyst/Power BI Specialist (m/f/d)</v>
      </c>
      <c r="D417" s="7" t="str">
        <f>IFERROR(__xludf.DUMMYFUNCTION("""COMPUTED_VALUE"""),"Berlin-Mitte")</f>
        <v>Berlin-Mitte</v>
      </c>
      <c r="E417" s="7" t="str">
        <f>IFERROR(__xludf.DUMMYFUNCTION("""COMPUTED_VALUE"""),"Berlin Brands Group")</f>
        <v>Berlin Brands Group</v>
      </c>
      <c r="F417" s="7" t="str">
        <f>IFERROR(__xludf.DUMMYFUNCTION("""COMPUTED_VALUE"""),"None")</f>
        <v>None</v>
      </c>
      <c r="G417" s="7" t="str">
        <f>IFERROR(__xludf.DUMMYFUNCTION("""COMPUTED_VALUE"""),"No salary data")</f>
        <v>No salary data</v>
      </c>
      <c r="H417" s="7" t="str">
        <f>IFERROR(__xludf.DUMMYFUNCTION("""COMPUTED_VALUE"""),"No salary data")</f>
        <v>No salary data</v>
      </c>
      <c r="I417" s="7" t="str">
        <f>IFERROR(__xludf.DUMMYFUNCTION("""COMPUTED_VALUE"""),"No salary data")</f>
        <v>No salary data</v>
      </c>
      <c r="J417" s="7" t="str">
        <f>IFERROR(__xludf.DUMMYFUNCTION("""COMPUTED_VALUE"""),"Python, SQL, Tableau, Excel, Git")</f>
        <v>Python, SQL, Tableau, Excel, Git</v>
      </c>
      <c r="K417" s="7" t="str">
        <f>IFERROR(__xludf.DUMMYFUNCTION("""COMPUTED_VALUE"""),"No job type data")</f>
        <v>No job type data</v>
      </c>
      <c r="L417" s="7" t="str">
        <f>IFERROR(__xludf.DUMMYFUNCTION("""COMPUTED_VALUE"""),"2,6")</f>
        <v>2,6</v>
      </c>
      <c r="M417" s="7"/>
      <c r="N417" s="7"/>
      <c r="O417" s="7"/>
    </row>
    <row r="418">
      <c r="A418" s="29">
        <f>IFERROR(__xludf.DUMMYFUNCTION("""COMPUTED_VALUE"""),414.0)</f>
        <v>414</v>
      </c>
      <c r="B418" s="7" t="str">
        <f>IFERROR(__xludf.DUMMYFUNCTION("""COMPUTED_VALUE"""),"vor 13 Tagen")</f>
        <v>vor 13 Tagen</v>
      </c>
      <c r="C418" s="7" t="str">
        <f>IFERROR(__xludf.DUMMYFUNCTION("""COMPUTED_VALUE"""),"Data Engineer (m/w/d)")</f>
        <v>Data Engineer (m/w/d)</v>
      </c>
      <c r="D418" s="7" t="str">
        <f>IFERROR(__xludf.DUMMYFUNCTION("""COMPUTED_VALUE"""),"Köln")</f>
        <v>Köln</v>
      </c>
      <c r="E418" s="7" t="str">
        <f>IFERROR(__xludf.DUMMYFUNCTION("""COMPUTED_VALUE"""),"taod Consulting GmbH")</f>
        <v>taod Consulting GmbH</v>
      </c>
      <c r="F418" s="7" t="str">
        <f>IFERROR(__xludf.DUMMYFUNCTION("""COMPUTED_VALUE"""),"None")</f>
        <v>None</v>
      </c>
      <c r="G418" s="7" t="str">
        <f>IFERROR(__xludf.DUMMYFUNCTION("""COMPUTED_VALUE"""),"No salary data")</f>
        <v>No salary data</v>
      </c>
      <c r="H418" s="7" t="str">
        <f>IFERROR(__xludf.DUMMYFUNCTION("""COMPUTED_VALUE"""),"No salary data")</f>
        <v>No salary data</v>
      </c>
      <c r="I418" s="7" t="str">
        <f>IFERROR(__xludf.DUMMYFUNCTION("""COMPUTED_VALUE"""),"No salary data")</f>
        <v>No salary data</v>
      </c>
      <c r="J418" s="7" t="str">
        <f>IFERROR(__xludf.DUMMYFUNCTION("""COMPUTED_VALUE"""),"Python, SQL, Agile")</f>
        <v>Python, SQL, Agile</v>
      </c>
      <c r="K418" s="7" t="str">
        <f>IFERROR(__xludf.DUMMYFUNCTION("""COMPUTED_VALUE"""),"No job type data")</f>
        <v>No job type data</v>
      </c>
      <c r="L418" s="7" t="str">
        <f>IFERROR(__xludf.DUMMYFUNCTION("""COMPUTED_VALUE"""),"None")</f>
        <v>None</v>
      </c>
      <c r="M418" s="7"/>
      <c r="N418" s="7"/>
      <c r="O418" s="7"/>
    </row>
    <row r="419">
      <c r="A419" s="29">
        <f>IFERROR(__xludf.DUMMYFUNCTION("""COMPUTED_VALUE"""),415.0)</f>
        <v>415</v>
      </c>
      <c r="B419" s="7" t="str">
        <f>IFERROR(__xludf.DUMMYFUNCTION("""COMPUTED_VALUE"""),"Vor mehr als 30 Tagen")</f>
        <v>Vor mehr als 30 Tagen</v>
      </c>
      <c r="C419" s="7" t="str">
        <f>IFERROR(__xludf.DUMMYFUNCTION("""COMPUTED_VALUE"""),"Expert Applied Mathematics (m/w/d)")</f>
        <v>Expert Applied Mathematics (m/w/d)</v>
      </c>
      <c r="D419" s="7" t="str">
        <f>IFERROR(__xludf.DUMMYFUNCTION("""COMPUTED_VALUE"""),"Leverkusen")</f>
        <v>Leverkusen</v>
      </c>
      <c r="E419" s="7" t="str">
        <f>IFERROR(__xludf.DUMMYFUNCTION("""COMPUTED_VALUE"""),"Bayer")</f>
        <v>Bayer</v>
      </c>
      <c r="F419" s="7" t="str">
        <f>IFERROR(__xludf.DUMMYFUNCTION("""COMPUTED_VALUE"""),"None")</f>
        <v>None</v>
      </c>
      <c r="G419" s="7" t="str">
        <f>IFERROR(__xludf.DUMMYFUNCTION("""COMPUTED_VALUE"""),"No salary data")</f>
        <v>No salary data</v>
      </c>
      <c r="H419" s="7" t="str">
        <f>IFERROR(__xludf.DUMMYFUNCTION("""COMPUTED_VALUE"""),"No salary data")</f>
        <v>No salary data</v>
      </c>
      <c r="I419" s="7" t="str">
        <f>IFERROR(__xludf.DUMMYFUNCTION("""COMPUTED_VALUE"""),"No salary data")</f>
        <v>No salary data</v>
      </c>
      <c r="J419" s="7" t="str">
        <f>IFERROR(__xludf.DUMMYFUNCTION("""COMPUTED_VALUE"""),"Python, Machine Learning, Deep Learning")</f>
        <v>Python, Machine Learning, Deep Learning</v>
      </c>
      <c r="K419" s="7" t="str">
        <f>IFERROR(__xludf.DUMMYFUNCTION("""COMPUTED_VALUE"""),"No job type data")</f>
        <v>No job type data</v>
      </c>
      <c r="L419" s="7" t="str">
        <f>IFERROR(__xludf.DUMMYFUNCTION("""COMPUTED_VALUE"""),"4,2")</f>
        <v>4,2</v>
      </c>
      <c r="M419" s="7"/>
      <c r="N419" s="7"/>
      <c r="O419" s="7"/>
    </row>
    <row r="420">
      <c r="A420" s="29">
        <f>IFERROR(__xludf.DUMMYFUNCTION("""COMPUTED_VALUE"""),416.0)</f>
        <v>416</v>
      </c>
      <c r="B420" s="7" t="str">
        <f>IFERROR(__xludf.DUMMYFUNCTION("""COMPUTED_VALUE"""),"Vor mehr als 30 Tagen")</f>
        <v>Vor mehr als 30 Tagen</v>
      </c>
      <c r="C420" s="7" t="str">
        <f>IFERROR(__xludf.DUMMYFUNCTION("""COMPUTED_VALUE"""),"EU Employee Relations Data Analyst")</f>
        <v>EU Employee Relations Data Analyst</v>
      </c>
      <c r="D420" s="7" t="str">
        <f>IFERROR(__xludf.DUMMYFUNCTION("""COMPUTED_VALUE"""),"München")</f>
        <v>München</v>
      </c>
      <c r="E420" s="7" t="str">
        <f>IFERROR(__xludf.DUMMYFUNCTION("""COMPUTED_VALUE"""),"Amazon Deutschland Trans GmbH")</f>
        <v>Amazon Deutschland Trans GmbH</v>
      </c>
      <c r="F420" s="7" t="str">
        <f>IFERROR(__xludf.DUMMYFUNCTION("""COMPUTED_VALUE"""),"None")</f>
        <v>None</v>
      </c>
      <c r="G420" s="7" t="str">
        <f>IFERROR(__xludf.DUMMYFUNCTION("""COMPUTED_VALUE"""),"No salary data")</f>
        <v>No salary data</v>
      </c>
      <c r="H420" s="7" t="str">
        <f>IFERROR(__xludf.DUMMYFUNCTION("""COMPUTED_VALUE"""),"No salary data")</f>
        <v>No salary data</v>
      </c>
      <c r="I420" s="7" t="str">
        <f>IFERROR(__xludf.DUMMYFUNCTION("""COMPUTED_VALUE"""),"No salary data")</f>
        <v>No salary data</v>
      </c>
      <c r="J420" s="7" t="str">
        <f>IFERROR(__xludf.DUMMYFUNCTION("""COMPUTED_VALUE"""),"Tableau, Excel, Statistic")</f>
        <v>Tableau, Excel, Statistic</v>
      </c>
      <c r="K420" s="7" t="str">
        <f>IFERROR(__xludf.DUMMYFUNCTION("""COMPUTED_VALUE"""),"Full-Time")</f>
        <v>Full-Time</v>
      </c>
      <c r="L420" s="7" t="str">
        <f>IFERROR(__xludf.DUMMYFUNCTION("""COMPUTED_VALUE"""),"3,6")</f>
        <v>3,6</v>
      </c>
      <c r="M420" s="7"/>
      <c r="N420" s="7"/>
      <c r="O420" s="7"/>
    </row>
    <row r="421">
      <c r="A421" s="29">
        <f>IFERROR(__xludf.DUMMYFUNCTION("""COMPUTED_VALUE"""),417.0)</f>
        <v>417</v>
      </c>
      <c r="B421" s="7" t="str">
        <f>IFERROR(__xludf.DUMMYFUNCTION("""COMPUTED_VALUE"""),"Vor mehr als 30 Tagen")</f>
        <v>Vor mehr als 30 Tagen</v>
      </c>
      <c r="C421" s="7" t="str">
        <f>IFERROR(__xludf.DUMMYFUNCTION("""COMPUTED_VALUE"""),"Master Data Analyst (m/w/d)")</f>
        <v>Master Data Analyst (m/w/d)</v>
      </c>
      <c r="D421" s="7" t="str">
        <f>IFERROR(__xludf.DUMMYFUNCTION("""COMPUTED_VALUE"""),"Böblingen")</f>
        <v>Böblingen</v>
      </c>
      <c r="E421" s="7" t="str">
        <f>IFERROR(__xludf.DUMMYFUNCTION("""COMPUTED_VALUE"""),"Advantest")</f>
        <v>Advantest</v>
      </c>
      <c r="F421" s="7" t="str">
        <f>IFERROR(__xludf.DUMMYFUNCTION("""COMPUTED_VALUE"""),"None")</f>
        <v>None</v>
      </c>
      <c r="G421" s="7" t="str">
        <f>IFERROR(__xludf.DUMMYFUNCTION("""COMPUTED_VALUE"""),"No salary data")</f>
        <v>No salary data</v>
      </c>
      <c r="H421" s="7" t="str">
        <f>IFERROR(__xludf.DUMMYFUNCTION("""COMPUTED_VALUE"""),"No salary data")</f>
        <v>No salary data</v>
      </c>
      <c r="I421" s="7" t="str">
        <f>IFERROR(__xludf.DUMMYFUNCTION("""COMPUTED_VALUE"""),"No salary data")</f>
        <v>No salary data</v>
      </c>
      <c r="J421" s="7"/>
      <c r="K421" s="7" t="str">
        <f>IFERROR(__xludf.DUMMYFUNCTION("""COMPUTED_VALUE"""),"No job type data")</f>
        <v>No job type data</v>
      </c>
      <c r="L421" s="7" t="str">
        <f>IFERROR(__xludf.DUMMYFUNCTION("""COMPUTED_VALUE"""),"None")</f>
        <v>None</v>
      </c>
      <c r="M421" s="7"/>
      <c r="N421" s="7"/>
      <c r="O421" s="7"/>
    </row>
    <row r="422">
      <c r="A422" s="29">
        <f>IFERROR(__xludf.DUMMYFUNCTION("""COMPUTED_VALUE"""),418.0)</f>
        <v>418</v>
      </c>
      <c r="B422" s="7" t="str">
        <f>IFERROR(__xludf.DUMMYFUNCTION("""COMPUTED_VALUE"""),"Vor mehr als 30 Tagen")</f>
        <v>Vor mehr als 30 Tagen</v>
      </c>
      <c r="C422" s="7" t="str">
        <f>IFERROR(__xludf.DUMMYFUNCTION("""COMPUTED_VALUE"""),"Data Scientist (m/w/d)")</f>
        <v>Data Scientist (m/w/d)</v>
      </c>
      <c r="D422" s="7" t="str">
        <f>IFERROR(__xludf.DUMMYFUNCTION("""COMPUTED_VALUE"""),"Offenburg")</f>
        <v>Offenburg</v>
      </c>
      <c r="E422" s="7" t="str">
        <f>IFERROR(__xludf.DUMMYFUNCTION("""COMPUTED_VALUE"""),"EDEKA Handelsgesellschaft Südwest mbH")</f>
        <v>EDEKA Handelsgesellschaft Südwest mbH</v>
      </c>
      <c r="F422" s="7" t="str">
        <f>IFERROR(__xludf.DUMMYFUNCTION("""COMPUTED_VALUE"""),"None")</f>
        <v>None</v>
      </c>
      <c r="G422" s="7" t="str">
        <f>IFERROR(__xludf.DUMMYFUNCTION("""COMPUTED_VALUE"""),"No salary data")</f>
        <v>No salary data</v>
      </c>
      <c r="H422" s="7" t="str">
        <f>IFERROR(__xludf.DUMMYFUNCTION("""COMPUTED_VALUE"""),"No salary data")</f>
        <v>No salary data</v>
      </c>
      <c r="I422" s="7" t="str">
        <f>IFERROR(__xludf.DUMMYFUNCTION("""COMPUTED_VALUE"""),"No salary data")</f>
        <v>No salary data</v>
      </c>
      <c r="J422" s="7" t="str">
        <f>IFERROR(__xludf.DUMMYFUNCTION("""COMPUTED_VALUE"""),"Python, SQL, Git")</f>
        <v>Python, SQL, Git</v>
      </c>
      <c r="K422" s="7" t="str">
        <f>IFERROR(__xludf.DUMMYFUNCTION("""COMPUTED_VALUE"""),"No job type data")</f>
        <v>No job type data</v>
      </c>
      <c r="L422" s="7" t="str">
        <f>IFERROR(__xludf.DUMMYFUNCTION("""COMPUTED_VALUE"""),"3,3")</f>
        <v>3,3</v>
      </c>
      <c r="M422" s="7"/>
      <c r="N422" s="7"/>
      <c r="O422" s="7"/>
    </row>
    <row r="423">
      <c r="A423" s="29">
        <f>IFERROR(__xludf.DUMMYFUNCTION("""COMPUTED_VALUE"""),419.0)</f>
        <v>419</v>
      </c>
      <c r="B423" s="7" t="str">
        <f>IFERROR(__xludf.DUMMYFUNCTION("""COMPUTED_VALUE"""),"vor 19 Tagen")</f>
        <v>vor 19 Tagen</v>
      </c>
      <c r="C423" s="7" t="str">
        <f>IFERROR(__xludf.DUMMYFUNCTION("""COMPUTED_VALUE"""),"(JUNIOR) DATA SCIENTIST (m/w/d)")</f>
        <v>(JUNIOR) DATA SCIENTIST (m/w/d)</v>
      </c>
      <c r="D423" s="7" t="str">
        <f>IFERROR(__xludf.DUMMYFUNCTION("""COMPUTED_VALUE"""),"Home Office")</f>
        <v>Home Office</v>
      </c>
      <c r="E423" s="7" t="str">
        <f>IFERROR(__xludf.DUMMYFUNCTION("""COMPUTED_VALUE"""),"Synamic Technologies")</f>
        <v>Synamic Technologies</v>
      </c>
      <c r="F423" s="7" t="str">
        <f>IFERROR(__xludf.DUMMYFUNCTION("""COMPUTED_VALUE"""),"None")</f>
        <v>None</v>
      </c>
      <c r="G423" s="7" t="str">
        <f>IFERROR(__xludf.DUMMYFUNCTION("""COMPUTED_VALUE"""),"No salary data")</f>
        <v>No salary data</v>
      </c>
      <c r="H423" s="7" t="str">
        <f>IFERROR(__xludf.DUMMYFUNCTION("""COMPUTED_VALUE"""),"No salary data")</f>
        <v>No salary data</v>
      </c>
      <c r="I423" s="7" t="str">
        <f>IFERROR(__xludf.DUMMYFUNCTION("""COMPUTED_VALUE"""),"No salary data")</f>
        <v>No salary data</v>
      </c>
      <c r="J423" s="7" t="str">
        <f>IFERROR(__xludf.DUMMYFUNCTION("""COMPUTED_VALUE"""),"Machine Learning, Git")</f>
        <v>Machine Learning, Git</v>
      </c>
      <c r="K423" s="7" t="str">
        <f>IFERROR(__xludf.DUMMYFUNCTION("""COMPUTED_VALUE"""),"No job type data")</f>
        <v>No job type data</v>
      </c>
      <c r="L423" s="7" t="str">
        <f>IFERROR(__xludf.DUMMYFUNCTION("""COMPUTED_VALUE"""),"None")</f>
        <v>None</v>
      </c>
      <c r="M423" s="7"/>
      <c r="N423" s="7"/>
      <c r="O423" s="7"/>
    </row>
    <row r="424">
      <c r="A424" s="29">
        <f>IFERROR(__xludf.DUMMYFUNCTION("""COMPUTED_VALUE"""),420.0)</f>
        <v>420</v>
      </c>
      <c r="B424" s="7" t="str">
        <f>IFERROR(__xludf.DUMMYFUNCTION("""COMPUTED_VALUE"""),"Vor mehr als 30 Tagen")</f>
        <v>Vor mehr als 30 Tagen</v>
      </c>
      <c r="C424" s="7" t="str">
        <f>IFERROR(__xludf.DUMMYFUNCTION("""COMPUTED_VALUE"""),"Data Analyst (m/w/d)")</f>
        <v>Data Analyst (m/w/d)</v>
      </c>
      <c r="D424" s="7" t="str">
        <f>IFERROR(__xludf.DUMMYFUNCTION("""COMPUTED_VALUE"""),"Hamburg")</f>
        <v>Hamburg</v>
      </c>
      <c r="E424" s="7" t="str">
        <f>IFERROR(__xludf.DUMMYFUNCTION("""COMPUTED_VALUE"""),"Jungheinrich")</f>
        <v>Jungheinrich</v>
      </c>
      <c r="F424" s="7" t="str">
        <f>IFERROR(__xludf.DUMMYFUNCTION("""COMPUTED_VALUE"""),"None")</f>
        <v>None</v>
      </c>
      <c r="G424" s="7" t="str">
        <f>IFERROR(__xludf.DUMMYFUNCTION("""COMPUTED_VALUE"""),"No salary data")</f>
        <v>No salary data</v>
      </c>
      <c r="H424" s="7" t="str">
        <f>IFERROR(__xludf.DUMMYFUNCTION("""COMPUTED_VALUE"""),"No salary data")</f>
        <v>No salary data</v>
      </c>
      <c r="I424" s="7" t="str">
        <f>IFERROR(__xludf.DUMMYFUNCTION("""COMPUTED_VALUE"""),"No salary data")</f>
        <v>No salary data</v>
      </c>
      <c r="J424" s="7"/>
      <c r="K424" s="7" t="str">
        <f>IFERROR(__xludf.DUMMYFUNCTION("""COMPUTED_VALUE"""),"No job type data")</f>
        <v>No job type data</v>
      </c>
      <c r="L424" s="7" t="str">
        <f>IFERROR(__xludf.DUMMYFUNCTION("""COMPUTED_VALUE"""),"3,3")</f>
        <v>3,3</v>
      </c>
      <c r="M424" s="7"/>
      <c r="N424" s="7"/>
      <c r="O424" s="7"/>
    </row>
    <row r="425">
      <c r="A425" s="29">
        <f>IFERROR(__xludf.DUMMYFUNCTION("""COMPUTED_VALUE"""),421.0)</f>
        <v>421</v>
      </c>
      <c r="B425" s="7" t="str">
        <f>IFERROR(__xludf.DUMMYFUNCTION("""COMPUTED_VALUE"""),"Vor mehr als 30 Tagen")</f>
        <v>Vor mehr als 30 Tagen</v>
      </c>
      <c r="C425" s="7" t="str">
        <f>IFERROR(__xludf.DUMMYFUNCTION("""COMPUTED_VALUE"""),"Data Analyst")</f>
        <v>Data Analyst</v>
      </c>
      <c r="D425" s="7" t="str">
        <f>IFERROR(__xludf.DUMMYFUNCTION("""COMPUTED_VALUE"""),"Berlin")</f>
        <v>Berlin</v>
      </c>
      <c r="E425" s="7" t="str">
        <f>IFERROR(__xludf.DUMMYFUNCTION("""COMPUTED_VALUE"""),"Fy")</f>
        <v>Fy</v>
      </c>
      <c r="F425" s="7" t="str">
        <f>IFERROR(__xludf.DUMMYFUNCTION("""COMPUTED_VALUE"""),"None")</f>
        <v>None</v>
      </c>
      <c r="G425" s="7" t="str">
        <f>IFERROR(__xludf.DUMMYFUNCTION("""COMPUTED_VALUE"""),"No salary data")</f>
        <v>No salary data</v>
      </c>
      <c r="H425" s="7" t="str">
        <f>IFERROR(__xludf.DUMMYFUNCTION("""COMPUTED_VALUE"""),"No salary data")</f>
        <v>No salary data</v>
      </c>
      <c r="I425" s="7" t="str">
        <f>IFERROR(__xludf.DUMMYFUNCTION("""COMPUTED_VALUE"""),"No salary data")</f>
        <v>No salary data</v>
      </c>
      <c r="J425" s="7" t="str">
        <f>IFERROR(__xludf.DUMMYFUNCTION("""COMPUTED_VALUE"""),"Python, SQL, Statistic, Git")</f>
        <v>Python, SQL, Statistic, Git</v>
      </c>
      <c r="K425" s="7" t="str">
        <f>IFERROR(__xludf.DUMMYFUNCTION("""COMPUTED_VALUE"""),"Full-Time")</f>
        <v>Full-Time</v>
      </c>
      <c r="L425" s="7" t="str">
        <f>IFERROR(__xludf.DUMMYFUNCTION("""COMPUTED_VALUE"""),"None")</f>
        <v>None</v>
      </c>
      <c r="M425" s="7"/>
      <c r="N425" s="7"/>
      <c r="O425" s="7"/>
    </row>
    <row r="426">
      <c r="A426" s="29">
        <f>IFERROR(__xludf.DUMMYFUNCTION("""COMPUTED_VALUE"""),422.0)</f>
        <v>422</v>
      </c>
      <c r="B426" s="7" t="str">
        <f>IFERROR(__xludf.DUMMYFUNCTION("""COMPUTED_VALUE"""),"Vor mehr als 30 Tagen")</f>
        <v>Vor mehr als 30 Tagen</v>
      </c>
      <c r="C426" s="7" t="str">
        <f>IFERROR(__xludf.DUMMYFUNCTION("""COMPUTED_VALUE"""),"Digital Data Analyst (f/m/x)")</f>
        <v>Digital Data Analyst (f/m/x)</v>
      </c>
      <c r="D426" s="7" t="str">
        <f>IFERROR(__xludf.DUMMYFUNCTION("""COMPUTED_VALUE"""),"Berlin")</f>
        <v>Berlin</v>
      </c>
      <c r="E426" s="7" t="str">
        <f>IFERROR(__xludf.DUMMYFUNCTION("""COMPUTED_VALUE"""),"diconium group")</f>
        <v>diconium group</v>
      </c>
      <c r="F426" s="7" t="str">
        <f>IFERROR(__xludf.DUMMYFUNCTION("""COMPUTED_VALUE"""),"None")</f>
        <v>None</v>
      </c>
      <c r="G426" s="7" t="str">
        <f>IFERROR(__xludf.DUMMYFUNCTION("""COMPUTED_VALUE"""),"No salary data")</f>
        <v>No salary data</v>
      </c>
      <c r="H426" s="7" t="str">
        <f>IFERROR(__xludf.DUMMYFUNCTION("""COMPUTED_VALUE"""),"No salary data")</f>
        <v>No salary data</v>
      </c>
      <c r="I426" s="7" t="str">
        <f>IFERROR(__xludf.DUMMYFUNCTION("""COMPUTED_VALUE"""),"No salary data")</f>
        <v>No salary data</v>
      </c>
      <c r="J426" s="7" t="str">
        <f>IFERROR(__xludf.DUMMYFUNCTION("""COMPUTED_VALUE"""),"Git, Agile")</f>
        <v>Git, Agile</v>
      </c>
      <c r="K426" s="7" t="str">
        <f>IFERROR(__xludf.DUMMYFUNCTION("""COMPUTED_VALUE"""),"No job type data")</f>
        <v>No job type data</v>
      </c>
      <c r="L426" s="7" t="str">
        <f>IFERROR(__xludf.DUMMYFUNCTION("""COMPUTED_VALUE"""),"3,0")</f>
        <v>3,0</v>
      </c>
      <c r="M426" s="7"/>
      <c r="N426" s="7"/>
      <c r="O426" s="7"/>
    </row>
    <row r="427">
      <c r="A427" s="29">
        <f>IFERROR(__xludf.DUMMYFUNCTION("""COMPUTED_VALUE"""),423.0)</f>
        <v>423</v>
      </c>
      <c r="B427" s="7" t="str">
        <f>IFERROR(__xludf.DUMMYFUNCTION("""COMPUTED_VALUE"""),"vor 13 Tagen")</f>
        <v>vor 13 Tagen</v>
      </c>
      <c r="C427" s="7" t="str">
        <f>IFERROR(__xludf.DUMMYFUNCTION("""COMPUTED_VALUE"""),"Studentische Hilfskraft / Praktikant (m/w/d) für das Projekt...")</f>
        <v>Studentische Hilfskraft / Praktikant (m/w/d) für das Projekt...</v>
      </c>
      <c r="D427" s="7" t="str">
        <f>IFERROR(__xludf.DUMMYFUNCTION("""COMPUTED_VALUE"""),"Hildburghausen")</f>
        <v>Hildburghausen</v>
      </c>
      <c r="E427" s="7" t="str">
        <f>IFERROR(__xludf.DUMMYFUNCTION("""COMPUTED_VALUE"""),"REGIOMED-KLINIKEN GmbH")</f>
        <v>REGIOMED-KLINIKEN GmbH</v>
      </c>
      <c r="F427" s="7" t="str">
        <f>IFERROR(__xludf.DUMMYFUNCTION("""COMPUTED_VALUE"""),"None")</f>
        <v>None</v>
      </c>
      <c r="G427" s="7" t="str">
        <f>IFERROR(__xludf.DUMMYFUNCTION("""COMPUTED_VALUE"""),"No salary data")</f>
        <v>No salary data</v>
      </c>
      <c r="H427" s="7" t="str">
        <f>IFERROR(__xludf.DUMMYFUNCTION("""COMPUTED_VALUE"""),"No salary data")</f>
        <v>No salary data</v>
      </c>
      <c r="I427" s="7" t="str">
        <f>IFERROR(__xludf.DUMMYFUNCTION("""COMPUTED_VALUE"""),"No salary data")</f>
        <v>No salary data</v>
      </c>
      <c r="J427" s="7"/>
      <c r="K427" s="7" t="str">
        <f>IFERROR(__xludf.DUMMYFUNCTION("""COMPUTED_VALUE"""),"No job type data")</f>
        <v>No job type data</v>
      </c>
      <c r="L427" s="7" t="str">
        <f>IFERROR(__xludf.DUMMYFUNCTION("""COMPUTED_VALUE"""),"3,3")</f>
        <v>3,3</v>
      </c>
      <c r="M427" s="7"/>
      <c r="N427" s="7"/>
      <c r="O427" s="7"/>
    </row>
    <row r="428">
      <c r="A428" s="29">
        <f>IFERROR(__xludf.DUMMYFUNCTION("""COMPUTED_VALUE"""),424.0)</f>
        <v>424</v>
      </c>
      <c r="B428" s="7" t="str">
        <f>IFERROR(__xludf.DUMMYFUNCTION("""COMPUTED_VALUE"""),"vor 7 Tagen")</f>
        <v>vor 7 Tagen</v>
      </c>
      <c r="C428" s="7" t="str">
        <f>IFERROR(__xludf.DUMMYFUNCTION("""COMPUTED_VALUE"""),"Data Scientist / ML engineer")</f>
        <v>Data Scientist / ML engineer</v>
      </c>
      <c r="D428" s="7" t="str">
        <f>IFERROR(__xludf.DUMMYFUNCTION("""COMPUTED_VALUE"""),"Berlin-Kreuzberg")</f>
        <v>Berlin-Kreuzberg</v>
      </c>
      <c r="E428" s="7" t="str">
        <f>IFERROR(__xludf.DUMMYFUNCTION("""COMPUTED_VALUE"""),"Codepan GmbH")</f>
        <v>Codepan GmbH</v>
      </c>
      <c r="F428" s="7" t="str">
        <f>IFERROR(__xludf.DUMMYFUNCTION("""COMPUTED_VALUE"""),"None")</f>
        <v>None</v>
      </c>
      <c r="G428" s="7" t="str">
        <f>IFERROR(__xludf.DUMMYFUNCTION("""COMPUTED_VALUE"""),"No salary data")</f>
        <v>No salary data</v>
      </c>
      <c r="H428" s="7" t="str">
        <f>IFERROR(__xludf.DUMMYFUNCTION("""COMPUTED_VALUE"""),"No salary data")</f>
        <v>No salary data</v>
      </c>
      <c r="I428" s="7" t="str">
        <f>IFERROR(__xludf.DUMMYFUNCTION("""COMPUTED_VALUE"""),"No salary data")</f>
        <v>No salary data</v>
      </c>
      <c r="J428" s="7" t="str">
        <f>IFERROR(__xludf.DUMMYFUNCTION("""COMPUTED_VALUE"""),"Python, SQL, Machine Learning, Statistic, Git, Agile")</f>
        <v>Python, SQL, Machine Learning, Statistic, Git, Agile</v>
      </c>
      <c r="K428" s="7" t="str">
        <f>IFERROR(__xludf.DUMMYFUNCTION("""COMPUTED_VALUE"""),"Part-Time")</f>
        <v>Part-Time</v>
      </c>
      <c r="L428" s="7" t="str">
        <f>IFERROR(__xludf.DUMMYFUNCTION("""COMPUTED_VALUE"""),"None")</f>
        <v>None</v>
      </c>
      <c r="M428" s="7"/>
      <c r="N428" s="7"/>
      <c r="O428" s="7"/>
    </row>
    <row r="429">
      <c r="A429" s="29">
        <f>IFERROR(__xludf.DUMMYFUNCTION("""COMPUTED_VALUE"""),425.0)</f>
        <v>425</v>
      </c>
      <c r="B429" s="7" t="str">
        <f>IFERROR(__xludf.DUMMYFUNCTION("""COMPUTED_VALUE"""),"vor 24 Tagen")</f>
        <v>vor 24 Tagen</v>
      </c>
      <c r="C429" s="7" t="str">
        <f>IFERROR(__xludf.DUMMYFUNCTION("""COMPUTED_VALUE"""),"(Senior) Data Analyst (f/m/d)")</f>
        <v>(Senior) Data Analyst (f/m/d)</v>
      </c>
      <c r="D429" s="7" t="str">
        <f>IFERROR(__xludf.DUMMYFUNCTION("""COMPUTED_VALUE"""),"München")</f>
        <v>München</v>
      </c>
      <c r="E429" s="7" t="str">
        <f>IFERROR(__xludf.DUMMYFUNCTION("""COMPUTED_VALUE"""),"Fidor Bank")</f>
        <v>Fidor Bank</v>
      </c>
      <c r="F429" s="7" t="str">
        <f>IFERROR(__xludf.DUMMYFUNCTION("""COMPUTED_VALUE"""),"None")</f>
        <v>None</v>
      </c>
      <c r="G429" s="7" t="str">
        <f>IFERROR(__xludf.DUMMYFUNCTION("""COMPUTED_VALUE"""),"No salary data")</f>
        <v>No salary data</v>
      </c>
      <c r="H429" s="7" t="str">
        <f>IFERROR(__xludf.DUMMYFUNCTION("""COMPUTED_VALUE"""),"No salary data")</f>
        <v>No salary data</v>
      </c>
      <c r="I429" s="7" t="str">
        <f>IFERROR(__xludf.DUMMYFUNCTION("""COMPUTED_VALUE"""),"No salary data")</f>
        <v>No salary data</v>
      </c>
      <c r="J429" s="7" t="str">
        <f>IFERROR(__xludf.DUMMYFUNCTION("""COMPUTED_VALUE"""),"Python, SQL, Tableau, Statistic, Git")</f>
        <v>Python, SQL, Tableau, Statistic, Git</v>
      </c>
      <c r="K429" s="7" t="str">
        <f>IFERROR(__xludf.DUMMYFUNCTION("""COMPUTED_VALUE"""),"Permanent")</f>
        <v>Permanent</v>
      </c>
      <c r="L429" s="7" t="str">
        <f>IFERROR(__xludf.DUMMYFUNCTION("""COMPUTED_VALUE"""),"None")</f>
        <v>None</v>
      </c>
      <c r="M429" s="7"/>
      <c r="N429" s="7"/>
      <c r="O429" s="7"/>
    </row>
    <row r="430">
      <c r="A430" s="29">
        <f>IFERROR(__xludf.DUMMYFUNCTION("""COMPUTED_VALUE"""),426.0)</f>
        <v>426</v>
      </c>
      <c r="B430" s="7" t="str">
        <f>IFERROR(__xludf.DUMMYFUNCTION("""COMPUTED_VALUE"""),"Vor mehr als 30 Tagen")</f>
        <v>Vor mehr als 30 Tagen</v>
      </c>
      <c r="C430" s="7" t="str">
        <f>IFERROR(__xludf.DUMMYFUNCTION("""COMPUTED_VALUE"""),"Data Scientist (m/w/d)")</f>
        <v>Data Scientist (m/w/d)</v>
      </c>
      <c r="D430" s="7" t="str">
        <f>IFERROR(__xludf.DUMMYFUNCTION("""COMPUTED_VALUE"""),"Karlsruhe")</f>
        <v>Karlsruhe</v>
      </c>
      <c r="E430" s="7" t="str">
        <f>IFERROR(__xludf.DUMMYFUNCTION("""COMPUTED_VALUE"""),"1&amp;1 Telecommunication SE")</f>
        <v>1&amp;1 Telecommunication SE</v>
      </c>
      <c r="F430" s="7" t="str">
        <f>IFERROR(__xludf.DUMMYFUNCTION("""COMPUTED_VALUE"""),"None")</f>
        <v>None</v>
      </c>
      <c r="G430" s="7" t="str">
        <f>IFERROR(__xludf.DUMMYFUNCTION("""COMPUTED_VALUE"""),"No salary data")</f>
        <v>No salary data</v>
      </c>
      <c r="H430" s="7" t="str">
        <f>IFERROR(__xludf.DUMMYFUNCTION("""COMPUTED_VALUE"""),"No salary data")</f>
        <v>No salary data</v>
      </c>
      <c r="I430" s="7" t="str">
        <f>IFERROR(__xludf.DUMMYFUNCTION("""COMPUTED_VALUE"""),"No salary data")</f>
        <v>No salary data</v>
      </c>
      <c r="J430" s="7" t="str">
        <f>IFERROR(__xludf.DUMMYFUNCTION("""COMPUTED_VALUE"""),"Python, SQL, Git, Agile")</f>
        <v>Python, SQL, Git, Agile</v>
      </c>
      <c r="K430" s="7" t="str">
        <f>IFERROR(__xludf.DUMMYFUNCTION("""COMPUTED_VALUE"""),"No job type data")</f>
        <v>No job type data</v>
      </c>
      <c r="L430" s="7" t="str">
        <f>IFERROR(__xludf.DUMMYFUNCTION("""COMPUTED_VALUE"""),"None")</f>
        <v>None</v>
      </c>
      <c r="M430" s="7"/>
      <c r="N430" s="7"/>
      <c r="O430" s="7"/>
    </row>
    <row r="431">
      <c r="A431" s="29">
        <f>IFERROR(__xludf.DUMMYFUNCTION("""COMPUTED_VALUE"""),427.0)</f>
        <v>427</v>
      </c>
      <c r="B431" s="7" t="str">
        <f>IFERROR(__xludf.DUMMYFUNCTION("""COMPUTED_VALUE"""),"vor 2 Tagen")</f>
        <v>vor 2 Tagen</v>
      </c>
      <c r="C431" s="7" t="str">
        <f>IFERROR(__xludf.DUMMYFUNCTION("""COMPUTED_VALUE"""),"Mitarbeiter (m|w|d) Production-Data-Management")</f>
        <v>Mitarbeiter (m|w|d) Production-Data-Management</v>
      </c>
      <c r="D431" s="7" t="str">
        <f>IFERROR(__xludf.DUMMYFUNCTION("""COMPUTED_VALUE"""),"Göttingen")</f>
        <v>Göttingen</v>
      </c>
      <c r="E431" s="7" t="str">
        <f>IFERROR(__xludf.DUMMYFUNCTION("""COMPUTED_VALUE"""),"Sartorius Stedim Biotech")</f>
        <v>Sartorius Stedim Biotech</v>
      </c>
      <c r="F431" s="7" t="str">
        <f>IFERROR(__xludf.DUMMYFUNCTION("""COMPUTED_VALUE"""),"None")</f>
        <v>None</v>
      </c>
      <c r="G431" s="7" t="str">
        <f>IFERROR(__xludf.DUMMYFUNCTION("""COMPUTED_VALUE"""),"No salary data")</f>
        <v>No salary data</v>
      </c>
      <c r="H431" s="7" t="str">
        <f>IFERROR(__xludf.DUMMYFUNCTION("""COMPUTED_VALUE"""),"No salary data")</f>
        <v>No salary data</v>
      </c>
      <c r="I431" s="7" t="str">
        <f>IFERROR(__xludf.DUMMYFUNCTION("""COMPUTED_VALUE"""),"No salary data")</f>
        <v>No salary data</v>
      </c>
      <c r="J431" s="7"/>
      <c r="K431" s="7" t="str">
        <f>IFERROR(__xludf.DUMMYFUNCTION("""COMPUTED_VALUE"""),"No job type data")</f>
        <v>No job type data</v>
      </c>
      <c r="L431" s="7" t="str">
        <f>IFERROR(__xludf.DUMMYFUNCTION("""COMPUTED_VALUE"""),"3,7")</f>
        <v>3,7</v>
      </c>
      <c r="M431" s="7"/>
      <c r="N431" s="7"/>
      <c r="O431" s="7"/>
    </row>
    <row r="432">
      <c r="A432" s="29">
        <f>IFERROR(__xludf.DUMMYFUNCTION("""COMPUTED_VALUE"""),428.0)</f>
        <v>428</v>
      </c>
      <c r="B432" s="7" t="str">
        <f>IFERROR(__xludf.DUMMYFUNCTION("""COMPUTED_VALUE"""),"Vor mehr als 30 Tagen")</f>
        <v>Vor mehr als 30 Tagen</v>
      </c>
      <c r="C432" s="7" t="str">
        <f>IFERROR(__xludf.DUMMYFUNCTION("""COMPUTED_VALUE"""),"Data Analyst (m/w/d) Nachhaltigkeit")</f>
        <v>Data Analyst (m/w/d) Nachhaltigkeit</v>
      </c>
      <c r="D432" s="7" t="str">
        <f>IFERROR(__xludf.DUMMYFUNCTION("""COMPUTED_VALUE"""),"Vestenbergsgreuth")</f>
        <v>Vestenbergsgreuth</v>
      </c>
      <c r="E432" s="7" t="str">
        <f>IFERROR(__xludf.DUMMYFUNCTION("""COMPUTED_VALUE"""),"Martin Bauer Group")</f>
        <v>Martin Bauer Group</v>
      </c>
      <c r="F432" s="7" t="str">
        <f>IFERROR(__xludf.DUMMYFUNCTION("""COMPUTED_VALUE"""),"None")</f>
        <v>None</v>
      </c>
      <c r="G432" s="7" t="str">
        <f>IFERROR(__xludf.DUMMYFUNCTION("""COMPUTED_VALUE"""),"No salary data")</f>
        <v>No salary data</v>
      </c>
      <c r="H432" s="7" t="str">
        <f>IFERROR(__xludf.DUMMYFUNCTION("""COMPUTED_VALUE"""),"No salary data")</f>
        <v>No salary data</v>
      </c>
      <c r="I432" s="7" t="str">
        <f>IFERROR(__xludf.DUMMYFUNCTION("""COMPUTED_VALUE"""),"No salary data")</f>
        <v>No salary data</v>
      </c>
      <c r="J432" s="7"/>
      <c r="K432" s="7" t="str">
        <f>IFERROR(__xludf.DUMMYFUNCTION("""COMPUTED_VALUE"""),"No job type data")</f>
        <v>No job type data</v>
      </c>
      <c r="L432" s="7" t="str">
        <f>IFERROR(__xludf.DUMMYFUNCTION("""COMPUTED_VALUE"""),"None")</f>
        <v>None</v>
      </c>
      <c r="M432" s="7"/>
      <c r="N432" s="7"/>
      <c r="O432" s="7"/>
    </row>
    <row r="433">
      <c r="A433" s="29">
        <f>IFERROR(__xludf.DUMMYFUNCTION("""COMPUTED_VALUE"""),429.0)</f>
        <v>429</v>
      </c>
      <c r="B433" s="7" t="str">
        <f>IFERROR(__xludf.DUMMYFUNCTION("""COMPUTED_VALUE"""),"vor 6 Tagen")</f>
        <v>vor 6 Tagen</v>
      </c>
      <c r="C433" s="7" t="str">
        <f>IFERROR(__xludf.DUMMYFUNCTION("""COMPUTED_VALUE"""),"Data Research Team Lead - Life Sciences")</f>
        <v>Data Research Team Lead - Life Sciences</v>
      </c>
      <c r="D433" s="7" t="str">
        <f>IFERROR(__xludf.DUMMYFUNCTION("""COMPUTED_VALUE"""),"Frankfurt am Main")</f>
        <v>Frankfurt am Main</v>
      </c>
      <c r="E433" s="7" t="str">
        <f>IFERROR(__xludf.DUMMYFUNCTION("""COMPUTED_VALUE"""),"Veeva Systems")</f>
        <v>Veeva Systems</v>
      </c>
      <c r="F433" s="7" t="str">
        <f>IFERROR(__xludf.DUMMYFUNCTION("""COMPUTED_VALUE"""),"None")</f>
        <v>None</v>
      </c>
      <c r="G433" s="7" t="str">
        <f>IFERROR(__xludf.DUMMYFUNCTION("""COMPUTED_VALUE"""),"No salary data")</f>
        <v>No salary data</v>
      </c>
      <c r="H433" s="7" t="str">
        <f>IFERROR(__xludf.DUMMYFUNCTION("""COMPUTED_VALUE"""),"No salary data")</f>
        <v>No salary data</v>
      </c>
      <c r="I433" s="7" t="str">
        <f>IFERROR(__xludf.DUMMYFUNCTION("""COMPUTED_VALUE"""),"No salary data")</f>
        <v>No salary data</v>
      </c>
      <c r="J433" s="7" t="str">
        <f>IFERROR(__xludf.DUMMYFUNCTION("""COMPUTED_VALUE"""),"SQL, Excel, Agile")</f>
        <v>SQL, Excel, Agile</v>
      </c>
      <c r="K433" s="7" t="str">
        <f>IFERROR(__xludf.DUMMYFUNCTION("""COMPUTED_VALUE"""),"No job type data")</f>
        <v>No job type data</v>
      </c>
      <c r="L433" s="7" t="str">
        <f>IFERROR(__xludf.DUMMYFUNCTION("""COMPUTED_VALUE"""),"None")</f>
        <v>None</v>
      </c>
      <c r="M433" s="7"/>
      <c r="N433" s="7"/>
      <c r="O433" s="7"/>
    </row>
    <row r="434">
      <c r="A434" s="29">
        <f>IFERROR(__xludf.DUMMYFUNCTION("""COMPUTED_VALUE"""),430.0)</f>
        <v>430</v>
      </c>
      <c r="B434" s="7" t="str">
        <f>IFERROR(__xludf.DUMMYFUNCTION("""COMPUTED_VALUE"""),"Vor mehr als 30 Tagen")</f>
        <v>Vor mehr als 30 Tagen</v>
      </c>
      <c r="C434" s="7" t="str">
        <f>IFERROR(__xludf.DUMMYFUNCTION("""COMPUTED_VALUE"""),"(Technical) Pricing Analyst (m/w/d)")</f>
        <v>(Technical) Pricing Analyst (m/w/d)</v>
      </c>
      <c r="D434" s="7" t="str">
        <f>IFERROR(__xludf.DUMMYFUNCTION("""COMPUTED_VALUE"""),"Nordrhein-Westfalen")</f>
        <v>Nordrhein-Westfalen</v>
      </c>
      <c r="E434" s="7" t="str">
        <f>IFERROR(__xludf.DUMMYFUNCTION("""COMPUTED_VALUE"""),"Berner Trading Holding GmbH")</f>
        <v>Berner Trading Holding GmbH</v>
      </c>
      <c r="F434" s="7" t="str">
        <f>IFERROR(__xludf.DUMMYFUNCTION("""COMPUTED_VALUE"""),"None")</f>
        <v>None</v>
      </c>
      <c r="G434" s="7" t="str">
        <f>IFERROR(__xludf.DUMMYFUNCTION("""COMPUTED_VALUE"""),"No salary data")</f>
        <v>No salary data</v>
      </c>
      <c r="H434" s="7" t="str">
        <f>IFERROR(__xludf.DUMMYFUNCTION("""COMPUTED_VALUE"""),"No salary data")</f>
        <v>No salary data</v>
      </c>
      <c r="I434" s="7" t="str">
        <f>IFERROR(__xludf.DUMMYFUNCTION("""COMPUTED_VALUE"""),"No salary data")</f>
        <v>No salary data</v>
      </c>
      <c r="J434" s="7" t="str">
        <f>IFERROR(__xludf.DUMMYFUNCTION("""COMPUTED_VALUE"""),"Python, SQL, Excel, Git")</f>
        <v>Python, SQL, Excel, Git</v>
      </c>
      <c r="K434" s="7" t="str">
        <f>IFERROR(__xludf.DUMMYFUNCTION("""COMPUTED_VALUE"""),"No job type data")</f>
        <v>No job type data</v>
      </c>
      <c r="L434" s="7" t="str">
        <f>IFERROR(__xludf.DUMMYFUNCTION("""COMPUTED_VALUE"""),"3,2")</f>
        <v>3,2</v>
      </c>
      <c r="M434" s="7"/>
      <c r="N434" s="7"/>
      <c r="O434" s="7"/>
    </row>
    <row r="435">
      <c r="A435" s="29">
        <f>IFERROR(__xludf.DUMMYFUNCTION("""COMPUTED_VALUE"""),431.0)</f>
        <v>431</v>
      </c>
      <c r="B435" s="7" t="str">
        <f>IFERROR(__xludf.DUMMYFUNCTION("""COMPUTED_VALUE"""),"vor 19 Tagen")</f>
        <v>vor 19 Tagen</v>
      </c>
      <c r="C435" s="7" t="str">
        <f>IFERROR(__xludf.DUMMYFUNCTION("""COMPUTED_VALUE"""),"Manager Risk Data &amp; Reporting (m/w/d)")</f>
        <v>Manager Risk Data &amp; Reporting (m/w/d)</v>
      </c>
      <c r="D435" s="7" t="str">
        <f>IFERROR(__xludf.DUMMYFUNCTION("""COMPUTED_VALUE"""),"Eschborn")</f>
        <v>Eschborn</v>
      </c>
      <c r="E435" s="7" t="str">
        <f>IFERROR(__xludf.DUMMYFUNCTION("""COMPUTED_VALUE"""),"Concardis GmbH")</f>
        <v>Concardis GmbH</v>
      </c>
      <c r="F435" s="7" t="str">
        <f>IFERROR(__xludf.DUMMYFUNCTION("""COMPUTED_VALUE"""),"None")</f>
        <v>None</v>
      </c>
      <c r="G435" s="7" t="str">
        <f>IFERROR(__xludf.DUMMYFUNCTION("""COMPUTED_VALUE"""),"No salary data")</f>
        <v>No salary data</v>
      </c>
      <c r="H435" s="7" t="str">
        <f>IFERROR(__xludf.DUMMYFUNCTION("""COMPUTED_VALUE"""),"No salary data")</f>
        <v>No salary data</v>
      </c>
      <c r="I435" s="7" t="str">
        <f>IFERROR(__xludf.DUMMYFUNCTION("""COMPUTED_VALUE"""),"No salary data")</f>
        <v>No salary data</v>
      </c>
      <c r="J435" s="7" t="str">
        <f>IFERROR(__xludf.DUMMYFUNCTION("""COMPUTED_VALUE"""),"Tableau, Git, Agile")</f>
        <v>Tableau, Git, Agile</v>
      </c>
      <c r="K435" s="7" t="str">
        <f>IFERROR(__xludf.DUMMYFUNCTION("""COMPUTED_VALUE"""),"No job type data")</f>
        <v>No job type data</v>
      </c>
      <c r="L435" s="7" t="str">
        <f>IFERROR(__xludf.DUMMYFUNCTION("""COMPUTED_VALUE"""),"2,8")</f>
        <v>2,8</v>
      </c>
      <c r="M435" s="7"/>
      <c r="N435" s="7"/>
      <c r="O435" s="7"/>
    </row>
    <row r="436">
      <c r="A436" s="29">
        <f>IFERROR(__xludf.DUMMYFUNCTION("""COMPUTED_VALUE"""),432.0)</f>
        <v>432</v>
      </c>
      <c r="B436" s="7" t="str">
        <f>IFERROR(__xludf.DUMMYFUNCTION("""COMPUTED_VALUE"""),"Vor mehr als 30 Tagen")</f>
        <v>Vor mehr als 30 Tagen</v>
      </c>
      <c r="C436" s="7" t="str">
        <f>IFERROR(__xludf.DUMMYFUNCTION("""COMPUTED_VALUE"""),"Big Data Analyst (gerne auch Junior) (m/w)")</f>
        <v>Big Data Analyst (gerne auch Junior) (m/w)</v>
      </c>
      <c r="D436" s="7" t="str">
        <f>IFERROR(__xludf.DUMMYFUNCTION("""COMPUTED_VALUE"""),"München")</f>
        <v>München</v>
      </c>
      <c r="E436" s="7" t="str">
        <f>IFERROR(__xludf.DUMMYFUNCTION("""COMPUTED_VALUE"""),"iPAXX")</f>
        <v>iPAXX</v>
      </c>
      <c r="F436" s="7" t="str">
        <f>IFERROR(__xludf.DUMMYFUNCTION("""COMPUTED_VALUE"""),"None")</f>
        <v>None</v>
      </c>
      <c r="G436" s="7" t="str">
        <f>IFERROR(__xludf.DUMMYFUNCTION("""COMPUTED_VALUE"""),"No salary data")</f>
        <v>No salary data</v>
      </c>
      <c r="H436" s="7" t="str">
        <f>IFERROR(__xludf.DUMMYFUNCTION("""COMPUTED_VALUE"""),"No salary data")</f>
        <v>No salary data</v>
      </c>
      <c r="I436" s="7" t="str">
        <f>IFERROR(__xludf.DUMMYFUNCTION("""COMPUTED_VALUE"""),"No salary data")</f>
        <v>No salary data</v>
      </c>
      <c r="J436" s="7" t="str">
        <f>IFERROR(__xludf.DUMMYFUNCTION("""COMPUTED_VALUE"""),"Python, SQL")</f>
        <v>Python, SQL</v>
      </c>
      <c r="K436" s="7" t="str">
        <f>IFERROR(__xludf.DUMMYFUNCTION("""COMPUTED_VALUE"""),"No job type data")</f>
        <v>No job type data</v>
      </c>
      <c r="L436" s="7" t="str">
        <f>IFERROR(__xludf.DUMMYFUNCTION("""COMPUTED_VALUE"""),"None")</f>
        <v>None</v>
      </c>
      <c r="M436" s="7"/>
      <c r="N436" s="7"/>
      <c r="O436" s="7"/>
    </row>
    <row r="437">
      <c r="A437" s="29">
        <f>IFERROR(__xludf.DUMMYFUNCTION("""COMPUTED_VALUE"""),433.0)</f>
        <v>433</v>
      </c>
      <c r="B437" s="7" t="str">
        <f>IFERROR(__xludf.DUMMYFUNCTION("""COMPUTED_VALUE"""),"Vor mehr als 30 Tagen")</f>
        <v>Vor mehr als 30 Tagen</v>
      </c>
      <c r="C437" s="7" t="str">
        <f>IFERROR(__xludf.DUMMYFUNCTION("""COMPUTED_VALUE"""),"Werkstudent (m/w/d) Data &amp; Analytics")</f>
        <v>Werkstudent (m/w/d) Data &amp; Analytics</v>
      </c>
      <c r="D437" s="7" t="str">
        <f>IFERROR(__xludf.DUMMYFUNCTION("""COMPUTED_VALUE"""),"Deutschland")</f>
        <v>Deutschland</v>
      </c>
      <c r="E437" s="7" t="str">
        <f>IFERROR(__xludf.DUMMYFUNCTION("""COMPUTED_VALUE"""),"Ceteris AG")</f>
        <v>Ceteris AG</v>
      </c>
      <c r="F437" s="7" t="str">
        <f>IFERROR(__xludf.DUMMYFUNCTION("""COMPUTED_VALUE"""),"None")</f>
        <v>None</v>
      </c>
      <c r="G437" s="7" t="str">
        <f>IFERROR(__xludf.DUMMYFUNCTION("""COMPUTED_VALUE"""),"No salary data")</f>
        <v>No salary data</v>
      </c>
      <c r="H437" s="7" t="str">
        <f>IFERROR(__xludf.DUMMYFUNCTION("""COMPUTED_VALUE"""),"No salary data")</f>
        <v>No salary data</v>
      </c>
      <c r="I437" s="7" t="str">
        <f>IFERROR(__xludf.DUMMYFUNCTION("""COMPUTED_VALUE"""),"No salary data")</f>
        <v>No salary data</v>
      </c>
      <c r="J437" s="7" t="str">
        <f>IFERROR(__xludf.DUMMYFUNCTION("""COMPUTED_VALUE"""),"SQL, Tableau")</f>
        <v>SQL, Tableau</v>
      </c>
      <c r="K437" s="7" t="str">
        <f>IFERROR(__xludf.DUMMYFUNCTION("""COMPUTED_VALUE"""),"No job type data")</f>
        <v>No job type data</v>
      </c>
      <c r="L437" s="7" t="str">
        <f>IFERROR(__xludf.DUMMYFUNCTION("""COMPUTED_VALUE"""),"None")</f>
        <v>None</v>
      </c>
      <c r="M437" s="7"/>
      <c r="N437" s="7"/>
      <c r="O437" s="7"/>
    </row>
    <row r="438">
      <c r="A438" s="29">
        <f>IFERROR(__xludf.DUMMYFUNCTION("""COMPUTED_VALUE"""),434.0)</f>
        <v>434</v>
      </c>
      <c r="B438" s="7" t="str">
        <f>IFERROR(__xludf.DUMMYFUNCTION("""COMPUTED_VALUE"""),"vor 3 Tagen")</f>
        <v>vor 3 Tagen</v>
      </c>
      <c r="C438" s="7" t="str">
        <f>IFERROR(__xludf.DUMMYFUNCTION("""COMPUTED_VALUE"""),"Process Expert Data Integrity (m/w/d) - ALCOA, cGMP, biophar")</f>
        <v>Process Expert Data Integrity (m/w/d) - ALCOA, cGMP, biophar</v>
      </c>
      <c r="D438" s="7" t="str">
        <f>IFERROR(__xludf.DUMMYFUNCTION("""COMPUTED_VALUE"""),"Biberach an der Riß")</f>
        <v>Biberach an der Riß</v>
      </c>
      <c r="E438" s="7" t="str">
        <f>IFERROR(__xludf.DUMMYFUNCTION("""COMPUTED_VALUE"""),"Modis GmbH")</f>
        <v>Modis GmbH</v>
      </c>
      <c r="F438" s="7" t="str">
        <f>IFERROR(__xludf.DUMMYFUNCTION("""COMPUTED_VALUE"""),"None")</f>
        <v>None</v>
      </c>
      <c r="G438" s="7" t="str">
        <f>IFERROR(__xludf.DUMMYFUNCTION("""COMPUTED_VALUE"""),"No salary data")</f>
        <v>No salary data</v>
      </c>
      <c r="H438" s="7" t="str">
        <f>IFERROR(__xludf.DUMMYFUNCTION("""COMPUTED_VALUE"""),"No salary data")</f>
        <v>No salary data</v>
      </c>
      <c r="I438" s="7" t="str">
        <f>IFERROR(__xludf.DUMMYFUNCTION("""COMPUTED_VALUE"""),"No salary data")</f>
        <v>No salary data</v>
      </c>
      <c r="J438" s="7"/>
      <c r="K438" s="7" t="str">
        <f>IFERROR(__xludf.DUMMYFUNCTION("""COMPUTED_VALUE"""),"No job type data")</f>
        <v>No job type data</v>
      </c>
      <c r="L438" s="7" t="str">
        <f>IFERROR(__xludf.DUMMYFUNCTION("""COMPUTED_VALUE"""),"3,8")</f>
        <v>3,8</v>
      </c>
      <c r="M438" s="7"/>
      <c r="N438" s="7"/>
      <c r="O438" s="7"/>
    </row>
    <row r="439">
      <c r="A439" s="29">
        <f>IFERROR(__xludf.DUMMYFUNCTION("""COMPUTED_VALUE"""),435.0)</f>
        <v>435</v>
      </c>
      <c r="B439" s="7" t="str">
        <f>IFERROR(__xludf.DUMMYFUNCTION("""COMPUTED_VALUE"""),"vor 2 Tagen")</f>
        <v>vor 2 Tagen</v>
      </c>
      <c r="C439" s="7" t="str">
        <f>IFERROR(__xludf.DUMMYFUNCTION("""COMPUTED_VALUE"""),"Business Intelligence Engineer")</f>
        <v>Business Intelligence Engineer</v>
      </c>
      <c r="D439" s="7" t="str">
        <f>IFERROR(__xludf.DUMMYFUNCTION("""COMPUTED_VALUE"""),"München")</f>
        <v>München</v>
      </c>
      <c r="E439" s="7" t="str">
        <f>IFERROR(__xludf.DUMMYFUNCTION("""COMPUTED_VALUE"""),"Quadient")</f>
        <v>Quadient</v>
      </c>
      <c r="F439" s="7" t="str">
        <f>IFERROR(__xludf.DUMMYFUNCTION("""COMPUTED_VALUE"""),"None")</f>
        <v>None</v>
      </c>
      <c r="G439" s="7" t="str">
        <f>IFERROR(__xludf.DUMMYFUNCTION("""COMPUTED_VALUE"""),"No salary data")</f>
        <v>No salary data</v>
      </c>
      <c r="H439" s="7" t="str">
        <f>IFERROR(__xludf.DUMMYFUNCTION("""COMPUTED_VALUE"""),"No salary data")</f>
        <v>No salary data</v>
      </c>
      <c r="I439" s="7" t="str">
        <f>IFERROR(__xludf.DUMMYFUNCTION("""COMPUTED_VALUE"""),"No salary data")</f>
        <v>No salary data</v>
      </c>
      <c r="J439" s="7" t="str">
        <f>IFERROR(__xludf.DUMMYFUNCTION("""COMPUTED_VALUE"""),"Excel")</f>
        <v>Excel</v>
      </c>
      <c r="K439" s="7" t="str">
        <f>IFERROR(__xludf.DUMMYFUNCTION("""COMPUTED_VALUE"""),"No job type data")</f>
        <v>No job type data</v>
      </c>
      <c r="L439" s="7" t="str">
        <f>IFERROR(__xludf.DUMMYFUNCTION("""COMPUTED_VALUE"""),"None")</f>
        <v>None</v>
      </c>
      <c r="M439" s="7"/>
      <c r="N439" s="7"/>
      <c r="O439" s="7"/>
    </row>
    <row r="440">
      <c r="A440" s="29">
        <f>IFERROR(__xludf.DUMMYFUNCTION("""COMPUTED_VALUE"""),436.0)</f>
        <v>436</v>
      </c>
      <c r="B440" s="7" t="str">
        <f>IFERROR(__xludf.DUMMYFUNCTION("""COMPUTED_VALUE"""),"vor 10 Tagen")</f>
        <v>vor 10 Tagen</v>
      </c>
      <c r="C440" s="7" t="str">
        <f>IFERROR(__xludf.DUMMYFUNCTION("""COMPUTED_VALUE"""),"BI specialist (internal) focus on data visualization")</f>
        <v>BI specialist (internal) focus on data visualization</v>
      </c>
      <c r="D440" s="7" t="str">
        <f>IFERROR(__xludf.DUMMYFUNCTION("""COMPUTED_VALUE"""),"Nürnberg")</f>
        <v>Nürnberg</v>
      </c>
      <c r="E440" s="7" t="str">
        <f>IFERROR(__xludf.DUMMYFUNCTION("""COMPUTED_VALUE"""),"Paessler AG")</f>
        <v>Paessler AG</v>
      </c>
      <c r="F440" s="7" t="str">
        <f>IFERROR(__xludf.DUMMYFUNCTION("""COMPUTED_VALUE"""),"None")</f>
        <v>None</v>
      </c>
      <c r="G440" s="7" t="str">
        <f>IFERROR(__xludf.DUMMYFUNCTION("""COMPUTED_VALUE"""),"No salary data")</f>
        <v>No salary data</v>
      </c>
      <c r="H440" s="7" t="str">
        <f>IFERROR(__xludf.DUMMYFUNCTION("""COMPUTED_VALUE"""),"No salary data")</f>
        <v>No salary data</v>
      </c>
      <c r="I440" s="7" t="str">
        <f>IFERROR(__xludf.DUMMYFUNCTION("""COMPUTED_VALUE"""),"No salary data")</f>
        <v>No salary data</v>
      </c>
      <c r="J440" s="7" t="str">
        <f>IFERROR(__xludf.DUMMYFUNCTION("""COMPUTED_VALUE"""),"SQL, Tableau")</f>
        <v>SQL, Tableau</v>
      </c>
      <c r="K440" s="7" t="str">
        <f>IFERROR(__xludf.DUMMYFUNCTION("""COMPUTED_VALUE"""),"No job type data")</f>
        <v>No job type data</v>
      </c>
      <c r="L440" s="7" t="str">
        <f>IFERROR(__xludf.DUMMYFUNCTION("""COMPUTED_VALUE"""),"None")</f>
        <v>None</v>
      </c>
      <c r="M440" s="7"/>
      <c r="N440" s="7"/>
      <c r="O440" s="7"/>
    </row>
    <row r="441">
      <c r="A441" s="29">
        <f>IFERROR(__xludf.DUMMYFUNCTION("""COMPUTED_VALUE"""),437.0)</f>
        <v>437</v>
      </c>
      <c r="B441" s="7" t="str">
        <f>IFERROR(__xludf.DUMMYFUNCTION("""COMPUTED_VALUE"""),"vor 10 Tagen")</f>
        <v>vor 10 Tagen</v>
      </c>
      <c r="C441" s="7" t="str">
        <f>IFERROR(__xludf.DUMMYFUNCTION("""COMPUTED_VALUE"""),"Data Engineer (m/w /d )")</f>
        <v>Data Engineer (m/w /d )</v>
      </c>
      <c r="D441" s="7" t="str">
        <f>IFERROR(__xludf.DUMMYFUNCTION("""COMPUTED_VALUE"""),"Friedrichshafen")</f>
        <v>Friedrichshafen</v>
      </c>
      <c r="E441" s="7" t="str">
        <f>IFERROR(__xludf.DUMMYFUNCTION("""COMPUTED_VALUE"""),"doubleSlash Net-Business GmbH")</f>
        <v>doubleSlash Net-Business GmbH</v>
      </c>
      <c r="F441" s="7" t="str">
        <f>IFERROR(__xludf.DUMMYFUNCTION("""COMPUTED_VALUE"""),"None")</f>
        <v>None</v>
      </c>
      <c r="G441" s="7" t="str">
        <f>IFERROR(__xludf.DUMMYFUNCTION("""COMPUTED_VALUE"""),"No salary data")</f>
        <v>No salary data</v>
      </c>
      <c r="H441" s="7" t="str">
        <f>IFERROR(__xludf.DUMMYFUNCTION("""COMPUTED_VALUE"""),"No salary data")</f>
        <v>No salary data</v>
      </c>
      <c r="I441" s="7" t="str">
        <f>IFERROR(__xludf.DUMMYFUNCTION("""COMPUTED_VALUE"""),"No salary data")</f>
        <v>No salary data</v>
      </c>
      <c r="J441" s="7" t="str">
        <f>IFERROR(__xludf.DUMMYFUNCTION("""COMPUTED_VALUE"""),"SQL, Git, Agile")</f>
        <v>SQL, Git, Agile</v>
      </c>
      <c r="K441" s="7" t="str">
        <f>IFERROR(__xludf.DUMMYFUNCTION("""COMPUTED_VALUE"""),"No job type data")</f>
        <v>No job type data</v>
      </c>
      <c r="L441" s="7" t="str">
        <f>IFERROR(__xludf.DUMMYFUNCTION("""COMPUTED_VALUE"""),"None")</f>
        <v>None</v>
      </c>
      <c r="M441" s="7"/>
      <c r="N441" s="7"/>
      <c r="O441" s="7"/>
    </row>
    <row r="442">
      <c r="A442" s="29">
        <f>IFERROR(__xludf.DUMMYFUNCTION("""COMPUTED_VALUE"""),438.0)</f>
        <v>438</v>
      </c>
      <c r="B442" s="7" t="str">
        <f>IFERROR(__xludf.DUMMYFUNCTION("""COMPUTED_VALUE"""),"Vor mehr als 30 Tagen")</f>
        <v>Vor mehr als 30 Tagen</v>
      </c>
      <c r="C442" s="7" t="str">
        <f>IFERROR(__xludf.DUMMYFUNCTION("""COMPUTED_VALUE"""),"Data Engineer")</f>
        <v>Data Engineer</v>
      </c>
      <c r="D442" s="7" t="str">
        <f>IFERROR(__xludf.DUMMYFUNCTION("""COMPUTED_VALUE"""),"Berlin")</f>
        <v>Berlin</v>
      </c>
      <c r="E442" s="7" t="str">
        <f>IFERROR(__xludf.DUMMYFUNCTION("""COMPUTED_VALUE"""),"Oviva")</f>
        <v>Oviva</v>
      </c>
      <c r="F442" s="7" t="str">
        <f>IFERROR(__xludf.DUMMYFUNCTION("""COMPUTED_VALUE"""),"None")</f>
        <v>None</v>
      </c>
      <c r="G442" s="7" t="str">
        <f>IFERROR(__xludf.DUMMYFUNCTION("""COMPUTED_VALUE"""),"No salary data")</f>
        <v>No salary data</v>
      </c>
      <c r="H442" s="7" t="str">
        <f>IFERROR(__xludf.DUMMYFUNCTION("""COMPUTED_VALUE"""),"No salary data")</f>
        <v>No salary data</v>
      </c>
      <c r="I442" s="7" t="str">
        <f>IFERROR(__xludf.DUMMYFUNCTION("""COMPUTED_VALUE"""),"No salary data")</f>
        <v>No salary data</v>
      </c>
      <c r="J442" s="7" t="str">
        <f>IFERROR(__xludf.DUMMYFUNCTION("""COMPUTED_VALUE"""),"Python, SQL, Excel")</f>
        <v>Python, SQL, Excel</v>
      </c>
      <c r="K442" s="7" t="str">
        <f>IFERROR(__xludf.DUMMYFUNCTION("""COMPUTED_VALUE"""),"No job type data")</f>
        <v>No job type data</v>
      </c>
      <c r="L442" s="7" t="str">
        <f>IFERROR(__xludf.DUMMYFUNCTION("""COMPUTED_VALUE"""),"None")</f>
        <v>None</v>
      </c>
      <c r="M442" s="7"/>
      <c r="N442" s="7"/>
      <c r="O442" s="7"/>
    </row>
    <row r="443">
      <c r="A443" s="29">
        <f>IFERROR(__xludf.DUMMYFUNCTION("""COMPUTED_VALUE"""),439.0)</f>
        <v>439</v>
      </c>
      <c r="B443" s="7" t="str">
        <f>IFERROR(__xludf.DUMMYFUNCTION("""COMPUTED_VALUE"""),"Vor mehr als 30 Tagen")</f>
        <v>Vor mehr als 30 Tagen</v>
      </c>
      <c r="C443" s="7" t="str">
        <f>IFERROR(__xludf.DUMMYFUNCTION("""COMPUTED_VALUE"""),"Junior Consultant Business Intelligence (m/w/d)")</f>
        <v>Junior Consultant Business Intelligence (m/w/d)</v>
      </c>
      <c r="D443" s="7" t="str">
        <f>IFERROR(__xludf.DUMMYFUNCTION("""COMPUTED_VALUE"""),"München")</f>
        <v>München</v>
      </c>
      <c r="E443" s="7" t="str">
        <f>IFERROR(__xludf.DUMMYFUNCTION("""COMPUTED_VALUE"""),"msg systems")</f>
        <v>msg systems</v>
      </c>
      <c r="F443" s="7" t="str">
        <f>IFERROR(__xludf.DUMMYFUNCTION("""COMPUTED_VALUE"""),"None")</f>
        <v>None</v>
      </c>
      <c r="G443" s="7" t="str">
        <f>IFERROR(__xludf.DUMMYFUNCTION("""COMPUTED_VALUE"""),"No salary data")</f>
        <v>No salary data</v>
      </c>
      <c r="H443" s="7" t="str">
        <f>IFERROR(__xludf.DUMMYFUNCTION("""COMPUTED_VALUE"""),"No salary data")</f>
        <v>No salary data</v>
      </c>
      <c r="I443" s="7" t="str">
        <f>IFERROR(__xludf.DUMMYFUNCTION("""COMPUTED_VALUE"""),"No salary data")</f>
        <v>No salary data</v>
      </c>
      <c r="J443" s="7"/>
      <c r="K443" s="7" t="str">
        <f>IFERROR(__xludf.DUMMYFUNCTION("""COMPUTED_VALUE"""),"No job type data")</f>
        <v>No job type data</v>
      </c>
      <c r="L443" s="7" t="str">
        <f>IFERROR(__xludf.DUMMYFUNCTION("""COMPUTED_VALUE"""),"4,6")</f>
        <v>4,6</v>
      </c>
      <c r="M443" s="7"/>
      <c r="N443" s="7"/>
      <c r="O443" s="7"/>
    </row>
    <row r="444">
      <c r="A444" s="29">
        <f>IFERROR(__xludf.DUMMYFUNCTION("""COMPUTED_VALUE"""),440.0)</f>
        <v>440</v>
      </c>
      <c r="B444" s="7" t="str">
        <f>IFERROR(__xludf.DUMMYFUNCTION("""COMPUTED_VALUE"""),"vor 13 Tagen")</f>
        <v>vor 13 Tagen</v>
      </c>
      <c r="C444" s="7" t="str">
        <f>IFERROR(__xludf.DUMMYFUNCTION("""COMPUTED_VALUE"""),"Data Engineer (f/m/d)")</f>
        <v>Data Engineer (f/m/d)</v>
      </c>
      <c r="D444" s="7" t="str">
        <f>IFERROR(__xludf.DUMMYFUNCTION("""COMPUTED_VALUE"""),"Dresden")</f>
        <v>Dresden</v>
      </c>
      <c r="E444" s="7" t="str">
        <f>IFERROR(__xludf.DUMMYFUNCTION("""COMPUTED_VALUE"""),"wandelbots")</f>
        <v>wandelbots</v>
      </c>
      <c r="F444" s="7" t="str">
        <f>IFERROR(__xludf.DUMMYFUNCTION("""COMPUTED_VALUE"""),"None")</f>
        <v>None</v>
      </c>
      <c r="G444" s="7" t="str">
        <f>IFERROR(__xludf.DUMMYFUNCTION("""COMPUTED_VALUE"""),"No salary data")</f>
        <v>No salary data</v>
      </c>
      <c r="H444" s="7" t="str">
        <f>IFERROR(__xludf.DUMMYFUNCTION("""COMPUTED_VALUE"""),"No salary data")</f>
        <v>No salary data</v>
      </c>
      <c r="I444" s="7" t="str">
        <f>IFERROR(__xludf.DUMMYFUNCTION("""COMPUTED_VALUE"""),"No salary data")</f>
        <v>No salary data</v>
      </c>
      <c r="J444" s="7" t="str">
        <f>IFERROR(__xludf.DUMMYFUNCTION("""COMPUTED_VALUE"""),"Python, Machine Learning, Deep Learning")</f>
        <v>Python, Machine Learning, Deep Learning</v>
      </c>
      <c r="K444" s="7" t="str">
        <f>IFERROR(__xludf.DUMMYFUNCTION("""COMPUTED_VALUE"""),"No job type data")</f>
        <v>No job type data</v>
      </c>
      <c r="L444" s="7" t="str">
        <f>IFERROR(__xludf.DUMMYFUNCTION("""COMPUTED_VALUE"""),"None")</f>
        <v>None</v>
      </c>
      <c r="M444" s="7"/>
      <c r="N444" s="7"/>
      <c r="O444" s="7"/>
    </row>
    <row r="445">
      <c r="A445" s="29">
        <f>IFERROR(__xludf.DUMMYFUNCTION("""COMPUTED_VALUE"""),441.0)</f>
        <v>441</v>
      </c>
      <c r="B445" s="7" t="str">
        <f>IFERROR(__xludf.DUMMYFUNCTION("""COMPUTED_VALUE"""),"vor 14 Tagen")</f>
        <v>vor 14 Tagen</v>
      </c>
      <c r="C445" s="7" t="str">
        <f>IFERROR(__xludf.DUMMYFUNCTION("""COMPUTED_VALUE"""),"Data Scientist (w/m/d)")</f>
        <v>Data Scientist (w/m/d)</v>
      </c>
      <c r="D445" s="7" t="str">
        <f>IFERROR(__xludf.DUMMYFUNCTION("""COMPUTED_VALUE"""),"Münster")</f>
        <v>Münster</v>
      </c>
      <c r="E445" s="7" t="str">
        <f>IFERROR(__xludf.DUMMYFUNCTION("""COMPUTED_VALUE"""),"Westphalia DataLab GmbH")</f>
        <v>Westphalia DataLab GmbH</v>
      </c>
      <c r="F445" s="7" t="str">
        <f>IFERROR(__xludf.DUMMYFUNCTION("""COMPUTED_VALUE"""),"None")</f>
        <v>None</v>
      </c>
      <c r="G445" s="7" t="str">
        <f>IFERROR(__xludf.DUMMYFUNCTION("""COMPUTED_VALUE"""),"No salary data")</f>
        <v>No salary data</v>
      </c>
      <c r="H445" s="7" t="str">
        <f>IFERROR(__xludf.DUMMYFUNCTION("""COMPUTED_VALUE"""),"No salary data")</f>
        <v>No salary data</v>
      </c>
      <c r="I445" s="7" t="str">
        <f>IFERROR(__xludf.DUMMYFUNCTION("""COMPUTED_VALUE"""),"No salary data")</f>
        <v>No salary data</v>
      </c>
      <c r="J445" s="7" t="str">
        <f>IFERROR(__xludf.DUMMYFUNCTION("""COMPUTED_VALUE"""),"Python, SQL, Machine Learning, Deep Learning")</f>
        <v>Python, SQL, Machine Learning, Deep Learning</v>
      </c>
      <c r="K445" s="7" t="str">
        <f>IFERROR(__xludf.DUMMYFUNCTION("""COMPUTED_VALUE"""),"No job type data")</f>
        <v>No job type data</v>
      </c>
      <c r="L445" s="7" t="str">
        <f>IFERROR(__xludf.DUMMYFUNCTION("""COMPUTED_VALUE"""),"None")</f>
        <v>None</v>
      </c>
      <c r="M445" s="7"/>
      <c r="N445" s="7"/>
      <c r="O445" s="7"/>
    </row>
    <row r="446">
      <c r="A446" s="29">
        <f>IFERROR(__xludf.DUMMYFUNCTION("""COMPUTED_VALUE"""),442.0)</f>
        <v>442</v>
      </c>
      <c r="B446" s="7" t="str">
        <f>IFERROR(__xludf.DUMMYFUNCTION("""COMPUTED_VALUE"""),"Vor mehr als 30 Tagen")</f>
        <v>Vor mehr als 30 Tagen</v>
      </c>
      <c r="C446" s="7" t="str">
        <f>IFERROR(__xludf.DUMMYFUNCTION("""COMPUTED_VALUE"""),"(Junior) Data Engineer – BI Plattform Developer (m/w/d)")</f>
        <v>(Junior) Data Engineer – BI Plattform Developer (m/w/d)</v>
      </c>
      <c r="D446" s="7" t="str">
        <f>IFERROR(__xludf.DUMMYFUNCTION("""COMPUTED_VALUE"""),"Berlin")</f>
        <v>Berlin</v>
      </c>
      <c r="E446" s="7" t="str">
        <f>IFERROR(__xludf.DUMMYFUNCTION("""COMPUTED_VALUE"""),"ZIEGERT ‒ Bank- und Immobilienconsulting GmbH")</f>
        <v>ZIEGERT ‒ Bank- und Immobilienconsulting GmbH</v>
      </c>
      <c r="F446" s="7" t="str">
        <f>IFERROR(__xludf.DUMMYFUNCTION("""COMPUTED_VALUE"""),"None")</f>
        <v>None</v>
      </c>
      <c r="G446" s="7" t="str">
        <f>IFERROR(__xludf.DUMMYFUNCTION("""COMPUTED_VALUE"""),"No salary data")</f>
        <v>No salary data</v>
      </c>
      <c r="H446" s="7" t="str">
        <f>IFERROR(__xludf.DUMMYFUNCTION("""COMPUTED_VALUE"""),"No salary data")</f>
        <v>No salary data</v>
      </c>
      <c r="I446" s="7" t="str">
        <f>IFERROR(__xludf.DUMMYFUNCTION("""COMPUTED_VALUE"""),"No salary data")</f>
        <v>No salary data</v>
      </c>
      <c r="J446" s="7" t="str">
        <f>IFERROR(__xludf.DUMMYFUNCTION("""COMPUTED_VALUE"""),"SQL, Git")</f>
        <v>SQL, Git</v>
      </c>
      <c r="K446" s="7" t="str">
        <f>IFERROR(__xludf.DUMMYFUNCTION("""COMPUTED_VALUE"""),"No job type data")</f>
        <v>No job type data</v>
      </c>
      <c r="L446" s="7" t="str">
        <f>IFERROR(__xludf.DUMMYFUNCTION("""COMPUTED_VALUE"""),"None")</f>
        <v>None</v>
      </c>
      <c r="M446" s="7"/>
      <c r="N446" s="7"/>
      <c r="O446" s="7"/>
    </row>
    <row r="447">
      <c r="A447" s="29">
        <f>IFERROR(__xludf.DUMMYFUNCTION("""COMPUTED_VALUE"""),443.0)</f>
        <v>443</v>
      </c>
      <c r="B447" s="7" t="str">
        <f>IFERROR(__xludf.DUMMYFUNCTION("""COMPUTED_VALUE"""),"vor 12 Tagen")</f>
        <v>vor 12 Tagen</v>
      </c>
      <c r="C447" s="7" t="str">
        <f>IFERROR(__xludf.DUMMYFUNCTION("""COMPUTED_VALUE"""),"Data Pipeline Engineer")</f>
        <v>Data Pipeline Engineer</v>
      </c>
      <c r="D447" s="7" t="str">
        <f>IFERROR(__xludf.DUMMYFUNCTION("""COMPUTED_VALUE"""),"Berlin")</f>
        <v>Berlin</v>
      </c>
      <c r="E447" s="7" t="str">
        <f>IFERROR(__xludf.DUMMYFUNCTION("""COMPUTED_VALUE"""),"TMP Worldwide Advertising &amp; Communications, LLC")</f>
        <v>TMP Worldwide Advertising &amp; Communications, LLC</v>
      </c>
      <c r="F447" s="7" t="str">
        <f>IFERROR(__xludf.DUMMYFUNCTION("""COMPUTED_VALUE"""),"None")</f>
        <v>None</v>
      </c>
      <c r="G447" s="7" t="str">
        <f>IFERROR(__xludf.DUMMYFUNCTION("""COMPUTED_VALUE"""),"No salary data")</f>
        <v>No salary data</v>
      </c>
      <c r="H447" s="7" t="str">
        <f>IFERROR(__xludf.DUMMYFUNCTION("""COMPUTED_VALUE"""),"No salary data")</f>
        <v>No salary data</v>
      </c>
      <c r="I447" s="7" t="str">
        <f>IFERROR(__xludf.DUMMYFUNCTION("""COMPUTED_VALUE"""),"No salary data")</f>
        <v>No salary data</v>
      </c>
      <c r="J447" s="7" t="str">
        <f>IFERROR(__xludf.DUMMYFUNCTION("""COMPUTED_VALUE"""),"Python, SQL, Excel, Git")</f>
        <v>Python, SQL, Excel, Git</v>
      </c>
      <c r="K447" s="7" t="str">
        <f>IFERROR(__xludf.DUMMYFUNCTION("""COMPUTED_VALUE"""),"No job type data")</f>
        <v>No job type data</v>
      </c>
      <c r="L447" s="7" t="str">
        <f>IFERROR(__xludf.DUMMYFUNCTION("""COMPUTED_VALUE"""),"None")</f>
        <v>None</v>
      </c>
      <c r="M447" s="7"/>
      <c r="N447" s="7"/>
      <c r="O447" s="7"/>
    </row>
    <row r="448">
      <c r="A448" s="29">
        <f>IFERROR(__xludf.DUMMYFUNCTION("""COMPUTED_VALUE"""),444.0)</f>
        <v>444</v>
      </c>
      <c r="B448" s="7" t="str">
        <f>IFERROR(__xludf.DUMMYFUNCTION("""COMPUTED_VALUE"""),"vor 19 Tagen")</f>
        <v>vor 19 Tagen</v>
      </c>
      <c r="C448" s="7" t="str">
        <f>IFERROR(__xludf.DUMMYFUNCTION("""COMPUTED_VALUE"""),"Business Intelligence Developer (w/m/x)")</f>
        <v>Business Intelligence Developer (w/m/x)</v>
      </c>
      <c r="D448" s="7" t="str">
        <f>IFERROR(__xludf.DUMMYFUNCTION("""COMPUTED_VALUE"""),"Halle (Westfalen)")</f>
        <v>Halle (Westfalen)</v>
      </c>
      <c r="E448" s="7" t="str">
        <f>IFERROR(__xludf.DUMMYFUNCTION("""COMPUTED_VALUE"""),"GERRY WEBER In­ter­na­tio­nal AG")</f>
        <v>GERRY WEBER In­ter­na­tio­nal AG</v>
      </c>
      <c r="F448" s="7" t="str">
        <f>IFERROR(__xludf.DUMMYFUNCTION("""COMPUTED_VALUE"""),"None")</f>
        <v>None</v>
      </c>
      <c r="G448" s="7" t="str">
        <f>IFERROR(__xludf.DUMMYFUNCTION("""COMPUTED_VALUE"""),"No salary data")</f>
        <v>No salary data</v>
      </c>
      <c r="H448" s="7" t="str">
        <f>IFERROR(__xludf.DUMMYFUNCTION("""COMPUTED_VALUE"""),"No salary data")</f>
        <v>No salary data</v>
      </c>
      <c r="I448" s="7" t="str">
        <f>IFERROR(__xludf.DUMMYFUNCTION("""COMPUTED_VALUE"""),"No salary data")</f>
        <v>No salary data</v>
      </c>
      <c r="J448" s="7" t="str">
        <f>IFERROR(__xludf.DUMMYFUNCTION("""COMPUTED_VALUE"""),"SQL, Agile, Scrum, Kanban")</f>
        <v>SQL, Agile, Scrum, Kanban</v>
      </c>
      <c r="K448" s="7" t="str">
        <f>IFERROR(__xludf.DUMMYFUNCTION("""COMPUTED_VALUE"""),"No job type data")</f>
        <v>No job type data</v>
      </c>
      <c r="L448" s="7" t="str">
        <f>IFERROR(__xludf.DUMMYFUNCTION("""COMPUTED_VALUE"""),"3,7")</f>
        <v>3,7</v>
      </c>
      <c r="M448" s="7"/>
      <c r="N448" s="7"/>
      <c r="O448" s="7"/>
    </row>
    <row r="449">
      <c r="A449" s="29">
        <f>IFERROR(__xludf.DUMMYFUNCTION("""COMPUTED_VALUE"""),445.0)</f>
        <v>445</v>
      </c>
      <c r="B449" s="7" t="str">
        <f>IFERROR(__xludf.DUMMYFUNCTION("""COMPUTED_VALUE"""),"vor 18 Tagen")</f>
        <v>vor 18 Tagen</v>
      </c>
      <c r="C449" s="7" t="str">
        <f>IFERROR(__xludf.DUMMYFUNCTION("""COMPUTED_VALUE"""),"Business Intelligence &amp; Data Engineer (m/w/d)")</f>
        <v>Business Intelligence &amp; Data Engineer (m/w/d)</v>
      </c>
      <c r="D449" s="7" t="str">
        <f>IFERROR(__xludf.DUMMYFUNCTION("""COMPUTED_VALUE"""),"Heidelberg")</f>
        <v>Heidelberg</v>
      </c>
      <c r="E449" s="7" t="str">
        <f>IFERROR(__xludf.DUMMYFUNCTION("""COMPUTED_VALUE"""),"Verivox GmbH")</f>
        <v>Verivox GmbH</v>
      </c>
      <c r="F449" s="7" t="str">
        <f>IFERROR(__xludf.DUMMYFUNCTION("""COMPUTED_VALUE"""),"None")</f>
        <v>None</v>
      </c>
      <c r="G449" s="7" t="str">
        <f>IFERROR(__xludf.DUMMYFUNCTION("""COMPUTED_VALUE"""),"No salary data")</f>
        <v>No salary data</v>
      </c>
      <c r="H449" s="7" t="str">
        <f>IFERROR(__xludf.DUMMYFUNCTION("""COMPUTED_VALUE"""),"No salary data")</f>
        <v>No salary data</v>
      </c>
      <c r="I449" s="7" t="str">
        <f>IFERROR(__xludf.DUMMYFUNCTION("""COMPUTED_VALUE"""),"No salary data")</f>
        <v>No salary data</v>
      </c>
      <c r="J449" s="7" t="str">
        <f>IFERROR(__xludf.DUMMYFUNCTION("""COMPUTED_VALUE"""),"Python, SQL")</f>
        <v>Python, SQL</v>
      </c>
      <c r="K449" s="7" t="str">
        <f>IFERROR(__xludf.DUMMYFUNCTION("""COMPUTED_VALUE"""),"No job type data")</f>
        <v>No job type data</v>
      </c>
      <c r="L449" s="7" t="str">
        <f>IFERROR(__xludf.DUMMYFUNCTION("""COMPUTED_VALUE"""),"4,1")</f>
        <v>4,1</v>
      </c>
      <c r="M449" s="7"/>
      <c r="N449" s="7"/>
      <c r="O449" s="7"/>
    </row>
    <row r="450">
      <c r="A450" s="29">
        <f>IFERROR(__xludf.DUMMYFUNCTION("""COMPUTED_VALUE"""),446.0)</f>
        <v>446</v>
      </c>
      <c r="B450" s="7" t="str">
        <f>IFERROR(__xludf.DUMMYFUNCTION("""COMPUTED_VALUE"""),"vor 16 Tagen")</f>
        <v>vor 16 Tagen</v>
      </c>
      <c r="C450" s="7" t="str">
        <f>IFERROR(__xludf.DUMMYFUNCTION("""COMPUTED_VALUE"""),"Werkstudent Data Analytics &amp; Digital Transformation Manageme...")</f>
        <v>Werkstudent Data Analytics &amp; Digital Transformation Manageme...</v>
      </c>
      <c r="D450" s="7" t="str">
        <f>IFERROR(__xludf.DUMMYFUNCTION("""COMPUTED_VALUE"""),"Düsseldorf")</f>
        <v>Düsseldorf</v>
      </c>
      <c r="E450" s="7" t="str">
        <f>IFERROR(__xludf.DUMMYFUNCTION("""COMPUTED_VALUE"""),"DMA Solutions GmbH")</f>
        <v>DMA Solutions GmbH</v>
      </c>
      <c r="F450" s="7" t="str">
        <f>IFERROR(__xludf.DUMMYFUNCTION("""COMPUTED_VALUE"""),"None")</f>
        <v>None</v>
      </c>
      <c r="G450" s="7" t="str">
        <f>IFERROR(__xludf.DUMMYFUNCTION("""COMPUTED_VALUE"""),"No salary data")</f>
        <v>No salary data</v>
      </c>
      <c r="H450" s="7" t="str">
        <f>IFERROR(__xludf.DUMMYFUNCTION("""COMPUTED_VALUE"""),"No salary data")</f>
        <v>No salary data</v>
      </c>
      <c r="I450" s="7" t="str">
        <f>IFERROR(__xludf.DUMMYFUNCTION("""COMPUTED_VALUE"""),"No salary data")</f>
        <v>No salary data</v>
      </c>
      <c r="J450" s="7" t="str">
        <f>IFERROR(__xludf.DUMMYFUNCTION("""COMPUTED_VALUE"""),"Python, Git, Agile, Scrum")</f>
        <v>Python, Git, Agile, Scrum</v>
      </c>
      <c r="K450" s="7" t="str">
        <f>IFERROR(__xludf.DUMMYFUNCTION("""COMPUTED_VALUE"""),"No job type data")</f>
        <v>No job type data</v>
      </c>
      <c r="L450" s="7" t="str">
        <f>IFERROR(__xludf.DUMMYFUNCTION("""COMPUTED_VALUE"""),"None")</f>
        <v>None</v>
      </c>
      <c r="M450" s="7"/>
      <c r="N450" s="7"/>
      <c r="O450" s="7"/>
    </row>
    <row r="451">
      <c r="A451" s="29">
        <f>IFERROR(__xludf.DUMMYFUNCTION("""COMPUTED_VALUE"""),447.0)</f>
        <v>447</v>
      </c>
      <c r="B451" s="7" t="str">
        <f>IFERROR(__xludf.DUMMYFUNCTION("""COMPUTED_VALUE"""),"Vor mehr als 30 Tagen")</f>
        <v>Vor mehr als 30 Tagen</v>
      </c>
      <c r="C451" s="7" t="str">
        <f>IFERROR(__xludf.DUMMYFUNCTION("""COMPUTED_VALUE"""),"Process Analyst")</f>
        <v>Process Analyst</v>
      </c>
      <c r="D451" s="7" t="str">
        <f>IFERROR(__xludf.DUMMYFUNCTION("""COMPUTED_VALUE"""),"München")</f>
        <v>München</v>
      </c>
      <c r="E451" s="7" t="str">
        <f>IFERROR(__xludf.DUMMYFUNCTION("""COMPUTED_VALUE"""),"Process&amp; GmbH")</f>
        <v>Process&amp; GmbH</v>
      </c>
      <c r="F451" s="7" t="str">
        <f>IFERROR(__xludf.DUMMYFUNCTION("""COMPUTED_VALUE"""),"None")</f>
        <v>None</v>
      </c>
      <c r="G451" s="7" t="str">
        <f>IFERROR(__xludf.DUMMYFUNCTION("""COMPUTED_VALUE"""),"No salary data")</f>
        <v>No salary data</v>
      </c>
      <c r="H451" s="7" t="str">
        <f>IFERROR(__xludf.DUMMYFUNCTION("""COMPUTED_VALUE"""),"No salary data")</f>
        <v>No salary data</v>
      </c>
      <c r="I451" s="7" t="str">
        <f>IFERROR(__xludf.DUMMYFUNCTION("""COMPUTED_VALUE"""),"No salary data")</f>
        <v>No salary data</v>
      </c>
      <c r="J451" s="7" t="str">
        <f>IFERROR(__xludf.DUMMYFUNCTION("""COMPUTED_VALUE"""),"Python, SQL, Machine Learning, Git")</f>
        <v>Python, SQL, Machine Learning, Git</v>
      </c>
      <c r="K451" s="7" t="str">
        <f>IFERROR(__xludf.DUMMYFUNCTION("""COMPUTED_VALUE"""),"No job type data")</f>
        <v>No job type data</v>
      </c>
      <c r="L451" s="7" t="str">
        <f>IFERROR(__xludf.DUMMYFUNCTION("""COMPUTED_VALUE"""),"None")</f>
        <v>None</v>
      </c>
      <c r="M451" s="7"/>
      <c r="N451" s="7"/>
      <c r="O451" s="7"/>
    </row>
    <row r="452">
      <c r="A452" s="29">
        <f>IFERROR(__xludf.DUMMYFUNCTION("""COMPUTED_VALUE"""),448.0)</f>
        <v>448</v>
      </c>
      <c r="B452" s="7" t="str">
        <f>IFERROR(__xludf.DUMMYFUNCTION("""COMPUTED_VALUE"""),"vor 19 Tagen")</f>
        <v>vor 19 Tagen</v>
      </c>
      <c r="C452" s="7" t="str">
        <f>IFERROR(__xludf.DUMMYFUNCTION("""COMPUTED_VALUE"""),"Data Scientist (w/m/d)")</f>
        <v>Data Scientist (w/m/d)</v>
      </c>
      <c r="D452" s="7" t="str">
        <f>IFERROR(__xludf.DUMMYFUNCTION("""COMPUTED_VALUE"""),"Oldenburg")</f>
        <v>Oldenburg</v>
      </c>
      <c r="E452" s="7" t="str">
        <f>IFERROR(__xludf.DUMMYFUNCTION("""COMPUTED_VALUE"""),"BTC Business Technology Consulting")</f>
        <v>BTC Business Technology Consulting</v>
      </c>
      <c r="F452" s="7" t="str">
        <f>IFERROR(__xludf.DUMMYFUNCTION("""COMPUTED_VALUE"""),"None")</f>
        <v>None</v>
      </c>
      <c r="G452" s="7" t="str">
        <f>IFERROR(__xludf.DUMMYFUNCTION("""COMPUTED_VALUE"""),"No salary data")</f>
        <v>No salary data</v>
      </c>
      <c r="H452" s="7" t="str">
        <f>IFERROR(__xludf.DUMMYFUNCTION("""COMPUTED_VALUE"""),"No salary data")</f>
        <v>No salary data</v>
      </c>
      <c r="I452" s="7" t="str">
        <f>IFERROR(__xludf.DUMMYFUNCTION("""COMPUTED_VALUE"""),"No salary data")</f>
        <v>No salary data</v>
      </c>
      <c r="J452" s="7" t="str">
        <f>IFERROR(__xludf.DUMMYFUNCTION("""COMPUTED_VALUE"""),"Python, Machine Learning")</f>
        <v>Python, Machine Learning</v>
      </c>
      <c r="K452" s="7" t="str">
        <f>IFERROR(__xludf.DUMMYFUNCTION("""COMPUTED_VALUE"""),"No job type data")</f>
        <v>No job type data</v>
      </c>
      <c r="L452" s="7" t="str">
        <f>IFERROR(__xludf.DUMMYFUNCTION("""COMPUTED_VALUE"""),"4,4")</f>
        <v>4,4</v>
      </c>
      <c r="M452" s="7"/>
      <c r="N452" s="7"/>
      <c r="O452" s="7"/>
    </row>
    <row r="453">
      <c r="A453" s="29">
        <f>IFERROR(__xludf.DUMMYFUNCTION("""COMPUTED_VALUE"""),449.0)</f>
        <v>449</v>
      </c>
      <c r="B453" s="7" t="str">
        <f>IFERROR(__xludf.DUMMYFUNCTION("""COMPUTED_VALUE"""),"vor 14 Tagen")</f>
        <v>vor 14 Tagen</v>
      </c>
      <c r="C453" s="7" t="str">
        <f>IFERROR(__xludf.DUMMYFUNCTION("""COMPUTED_VALUE"""),"Data Analyst / Digital Analyst E-Commerce (m/w/d)")</f>
        <v>Data Analyst / Digital Analyst E-Commerce (m/w/d)</v>
      </c>
      <c r="D453" s="7" t="str">
        <f>IFERROR(__xludf.DUMMYFUNCTION("""COMPUTED_VALUE"""),"Köln")</f>
        <v>Köln</v>
      </c>
      <c r="E453" s="7" t="str">
        <f>IFERROR(__xludf.DUMMYFUNCTION("""COMPUTED_VALUE"""),"Snipes SE")</f>
        <v>Snipes SE</v>
      </c>
      <c r="F453" s="7" t="str">
        <f>IFERROR(__xludf.DUMMYFUNCTION("""COMPUTED_VALUE"""),"None")</f>
        <v>None</v>
      </c>
      <c r="G453" s="7" t="str">
        <f>IFERROR(__xludf.DUMMYFUNCTION("""COMPUTED_VALUE"""),"No salary data")</f>
        <v>No salary data</v>
      </c>
      <c r="H453" s="7" t="str">
        <f>IFERROR(__xludf.DUMMYFUNCTION("""COMPUTED_VALUE"""),"No salary data")</f>
        <v>No salary data</v>
      </c>
      <c r="I453" s="7" t="str">
        <f>IFERROR(__xludf.DUMMYFUNCTION("""COMPUTED_VALUE"""),"No salary data")</f>
        <v>No salary data</v>
      </c>
      <c r="J453" s="7" t="str">
        <f>IFERROR(__xludf.DUMMYFUNCTION("""COMPUTED_VALUE"""),"SQL, Excel")</f>
        <v>SQL, Excel</v>
      </c>
      <c r="K453" s="7" t="str">
        <f>IFERROR(__xludf.DUMMYFUNCTION("""COMPUTED_VALUE"""),"No job type data")</f>
        <v>No job type data</v>
      </c>
      <c r="L453" s="7" t="str">
        <f>IFERROR(__xludf.DUMMYFUNCTION("""COMPUTED_VALUE"""),"3,2")</f>
        <v>3,2</v>
      </c>
      <c r="M453" s="7"/>
      <c r="N453" s="7"/>
      <c r="O453" s="7"/>
    </row>
    <row r="454">
      <c r="A454" s="29">
        <f>IFERROR(__xludf.DUMMYFUNCTION("""COMPUTED_VALUE"""),450.0)</f>
        <v>450</v>
      </c>
      <c r="B454" s="7" t="str">
        <f>IFERROR(__xludf.DUMMYFUNCTION("""COMPUTED_VALUE"""),"Vor mehr als 30 Tagen")</f>
        <v>Vor mehr als 30 Tagen</v>
      </c>
      <c r="C454" s="7" t="str">
        <f>IFERROR(__xludf.DUMMYFUNCTION("""COMPUTED_VALUE"""),"Junior Consultant Digital Transformation (m/w/d)")</f>
        <v>Junior Consultant Digital Transformation (m/w/d)</v>
      </c>
      <c r="D454" s="7" t="str">
        <f>IFERROR(__xludf.DUMMYFUNCTION("""COMPUTED_VALUE"""),"Berlin")</f>
        <v>Berlin</v>
      </c>
      <c r="E454" s="7" t="str">
        <f>IFERROR(__xludf.DUMMYFUNCTION("""COMPUTED_VALUE"""),"Plan D GmbH")</f>
        <v>Plan D GmbH</v>
      </c>
      <c r="F454" s="7" t="str">
        <f>IFERROR(__xludf.DUMMYFUNCTION("""COMPUTED_VALUE"""),"None")</f>
        <v>None</v>
      </c>
      <c r="G454" s="7" t="str">
        <f>IFERROR(__xludf.DUMMYFUNCTION("""COMPUTED_VALUE"""),"No salary data")</f>
        <v>No salary data</v>
      </c>
      <c r="H454" s="7" t="str">
        <f>IFERROR(__xludf.DUMMYFUNCTION("""COMPUTED_VALUE"""),"No salary data")</f>
        <v>No salary data</v>
      </c>
      <c r="I454" s="7" t="str">
        <f>IFERROR(__xludf.DUMMYFUNCTION("""COMPUTED_VALUE"""),"No salary data")</f>
        <v>No salary data</v>
      </c>
      <c r="J454" s="7" t="str">
        <f>IFERROR(__xludf.DUMMYFUNCTION("""COMPUTED_VALUE"""),"Python, SQL, Git")</f>
        <v>Python, SQL, Git</v>
      </c>
      <c r="K454" s="7" t="str">
        <f>IFERROR(__xludf.DUMMYFUNCTION("""COMPUTED_VALUE"""),"No job type data")</f>
        <v>No job type data</v>
      </c>
      <c r="L454" s="7" t="str">
        <f>IFERROR(__xludf.DUMMYFUNCTION("""COMPUTED_VALUE"""),"None")</f>
        <v>None</v>
      </c>
      <c r="M454" s="7"/>
      <c r="N454" s="7"/>
      <c r="O454" s="7"/>
    </row>
    <row r="455">
      <c r="A455" s="29">
        <f>IFERROR(__xludf.DUMMYFUNCTION("""COMPUTED_VALUE"""),451.0)</f>
        <v>451</v>
      </c>
      <c r="B455" s="7" t="str">
        <f>IFERROR(__xludf.DUMMYFUNCTION("""COMPUTED_VALUE"""),"vor 17 Tagen")</f>
        <v>vor 17 Tagen</v>
      </c>
      <c r="C455" s="7" t="str">
        <f>IFERROR(__xludf.DUMMYFUNCTION("""COMPUTED_VALUE"""),"Product Analyst (m/f/x)")</f>
        <v>Product Analyst (m/f/x)</v>
      </c>
      <c r="D455" s="7" t="str">
        <f>IFERROR(__xludf.DUMMYFUNCTION("""COMPUTED_VALUE"""),"Berlin")</f>
        <v>Berlin</v>
      </c>
      <c r="E455" s="7" t="str">
        <f>IFERROR(__xludf.DUMMYFUNCTION("""COMPUTED_VALUE"""),"Homeday GmbH")</f>
        <v>Homeday GmbH</v>
      </c>
      <c r="F455" s="7" t="str">
        <f>IFERROR(__xludf.DUMMYFUNCTION("""COMPUTED_VALUE"""),"None")</f>
        <v>None</v>
      </c>
      <c r="G455" s="7" t="str">
        <f>IFERROR(__xludf.DUMMYFUNCTION("""COMPUTED_VALUE"""),"No salary data")</f>
        <v>No salary data</v>
      </c>
      <c r="H455" s="7" t="str">
        <f>IFERROR(__xludf.DUMMYFUNCTION("""COMPUTED_VALUE"""),"No salary data")</f>
        <v>No salary data</v>
      </c>
      <c r="I455" s="7" t="str">
        <f>IFERROR(__xludf.DUMMYFUNCTION("""COMPUTED_VALUE"""),"No salary data")</f>
        <v>No salary data</v>
      </c>
      <c r="J455" s="7" t="str">
        <f>IFERROR(__xludf.DUMMYFUNCTION("""COMPUTED_VALUE"""),"SQL, Tableau, Machine Learning, Git")</f>
        <v>SQL, Tableau, Machine Learning, Git</v>
      </c>
      <c r="K455" s="7" t="str">
        <f>IFERROR(__xludf.DUMMYFUNCTION("""COMPUTED_VALUE"""),"No job type data")</f>
        <v>No job type data</v>
      </c>
      <c r="L455" s="7" t="str">
        <f>IFERROR(__xludf.DUMMYFUNCTION("""COMPUTED_VALUE"""),"4,8")</f>
        <v>4,8</v>
      </c>
      <c r="M455" s="7"/>
      <c r="N455" s="7"/>
      <c r="O455" s="7"/>
    </row>
    <row r="456">
      <c r="A456" s="29">
        <f>IFERROR(__xludf.DUMMYFUNCTION("""COMPUTED_VALUE"""),452.0)</f>
        <v>452</v>
      </c>
      <c r="B456" s="7" t="str">
        <f>IFERROR(__xludf.DUMMYFUNCTION("""COMPUTED_VALUE"""),"vor 21 Tagen")</f>
        <v>vor 21 Tagen</v>
      </c>
      <c r="C456" s="7" t="str">
        <f>IFERROR(__xludf.DUMMYFUNCTION("""COMPUTED_VALUE"""),"Data Scientist*in / Data Analyst*in")</f>
        <v>Data Scientist*in / Data Analyst*in</v>
      </c>
      <c r="D456" s="7" t="str">
        <f>IFERROR(__xludf.DUMMYFUNCTION("""COMPUTED_VALUE"""),"Berlin")</f>
        <v>Berlin</v>
      </c>
      <c r="E456" s="7" t="str">
        <f>IFERROR(__xludf.DUMMYFUNCTION("""COMPUTED_VALUE"""),"Kassenärztliche Vereinigung Berlin")</f>
        <v>Kassenärztliche Vereinigung Berlin</v>
      </c>
      <c r="F456" s="7" t="str">
        <f>IFERROR(__xludf.DUMMYFUNCTION("""COMPUTED_VALUE"""),"None")</f>
        <v>None</v>
      </c>
      <c r="G456" s="7" t="str">
        <f>IFERROR(__xludf.DUMMYFUNCTION("""COMPUTED_VALUE"""),"No salary data")</f>
        <v>No salary data</v>
      </c>
      <c r="H456" s="7" t="str">
        <f>IFERROR(__xludf.DUMMYFUNCTION("""COMPUTED_VALUE"""),"No salary data")</f>
        <v>No salary data</v>
      </c>
      <c r="I456" s="7" t="str">
        <f>IFERROR(__xludf.DUMMYFUNCTION("""COMPUTED_VALUE"""),"No salary data")</f>
        <v>No salary data</v>
      </c>
      <c r="J456" s="7" t="str">
        <f>IFERROR(__xludf.DUMMYFUNCTION("""COMPUTED_VALUE"""),"Excel")</f>
        <v>Excel</v>
      </c>
      <c r="K456" s="7" t="str">
        <f>IFERROR(__xludf.DUMMYFUNCTION("""COMPUTED_VALUE"""),"No job type data")</f>
        <v>No job type data</v>
      </c>
      <c r="L456" s="7" t="str">
        <f>IFERROR(__xludf.DUMMYFUNCTION("""COMPUTED_VALUE"""),"None")</f>
        <v>None</v>
      </c>
      <c r="M456" s="7"/>
      <c r="N456" s="7"/>
      <c r="O456" s="7"/>
    </row>
    <row r="457">
      <c r="A457" s="29">
        <f>IFERROR(__xludf.DUMMYFUNCTION("""COMPUTED_VALUE"""),453.0)</f>
        <v>453</v>
      </c>
      <c r="B457" s="7" t="str">
        <f>IFERROR(__xludf.DUMMYFUNCTION("""COMPUTED_VALUE"""),"vor 7 Tagen")</f>
        <v>vor 7 Tagen</v>
      </c>
      <c r="C457" s="7" t="str">
        <f>IFERROR(__xludf.DUMMYFUNCTION("""COMPUTED_VALUE"""),"Data Scientist (m/w/d)")</f>
        <v>Data Scientist (m/w/d)</v>
      </c>
      <c r="D457" s="7" t="str">
        <f>IFERROR(__xludf.DUMMYFUNCTION("""COMPUTED_VALUE"""),"Freiburg")</f>
        <v>Freiburg</v>
      </c>
      <c r="E457" s="7" t="str">
        <f>IFERROR(__xludf.DUMMYFUNCTION("""COMPUTED_VALUE"""),"Universitätsklinikum Freiburg")</f>
        <v>Universitätsklinikum Freiburg</v>
      </c>
      <c r="F457" s="7" t="str">
        <f>IFERROR(__xludf.DUMMYFUNCTION("""COMPUTED_VALUE"""),"None")</f>
        <v>None</v>
      </c>
      <c r="G457" s="7" t="str">
        <f>IFERROR(__xludf.DUMMYFUNCTION("""COMPUTED_VALUE"""),"No salary data")</f>
        <v>No salary data</v>
      </c>
      <c r="H457" s="7" t="str">
        <f>IFERROR(__xludf.DUMMYFUNCTION("""COMPUTED_VALUE"""),"No salary data")</f>
        <v>No salary data</v>
      </c>
      <c r="I457" s="7" t="str">
        <f>IFERROR(__xludf.DUMMYFUNCTION("""COMPUTED_VALUE"""),"No salary data")</f>
        <v>No salary data</v>
      </c>
      <c r="J457" s="7"/>
      <c r="K457" s="7" t="str">
        <f>IFERROR(__xludf.DUMMYFUNCTION("""COMPUTED_VALUE"""),"No job type data")</f>
        <v>No job type data</v>
      </c>
      <c r="L457" s="7" t="str">
        <f>IFERROR(__xludf.DUMMYFUNCTION("""COMPUTED_VALUE"""),"None")</f>
        <v>None</v>
      </c>
      <c r="M457" s="7"/>
      <c r="N457" s="7"/>
      <c r="O457" s="7"/>
    </row>
    <row r="458">
      <c r="A458" s="29">
        <f>IFERROR(__xludf.DUMMYFUNCTION("""COMPUTED_VALUE"""),454.0)</f>
        <v>454</v>
      </c>
      <c r="B458" s="7" t="str">
        <f>IFERROR(__xludf.DUMMYFUNCTION("""COMPUTED_VALUE"""),"Vor mehr als 30 Tagen")</f>
        <v>Vor mehr als 30 Tagen</v>
      </c>
      <c r="C458" s="7" t="str">
        <f>IFERROR(__xludf.DUMMYFUNCTION("""COMPUTED_VALUE"""),"Data Engineer")</f>
        <v>Data Engineer</v>
      </c>
      <c r="D458" s="7" t="str">
        <f>IFERROR(__xludf.DUMMYFUNCTION("""COMPUTED_VALUE"""),"Gütersloh")</f>
        <v>Gütersloh</v>
      </c>
      <c r="E458" s="7" t="str">
        <f>IFERROR(__xludf.DUMMYFUNCTION("""COMPUTED_VALUE"""),"direct services Gütersloh GmbH – BPG IT")</f>
        <v>direct services Gütersloh GmbH – BPG IT</v>
      </c>
      <c r="F458" s="7" t="str">
        <f>IFERROR(__xludf.DUMMYFUNCTION("""COMPUTED_VALUE"""),"None")</f>
        <v>None</v>
      </c>
      <c r="G458" s="7" t="str">
        <f>IFERROR(__xludf.DUMMYFUNCTION("""COMPUTED_VALUE"""),"No salary data")</f>
        <v>No salary data</v>
      </c>
      <c r="H458" s="7" t="str">
        <f>IFERROR(__xludf.DUMMYFUNCTION("""COMPUTED_VALUE"""),"No salary data")</f>
        <v>No salary data</v>
      </c>
      <c r="I458" s="7" t="str">
        <f>IFERROR(__xludf.DUMMYFUNCTION("""COMPUTED_VALUE"""),"No salary data")</f>
        <v>No salary data</v>
      </c>
      <c r="J458" s="7" t="str">
        <f>IFERROR(__xludf.DUMMYFUNCTION("""COMPUTED_VALUE"""),"SQL, Agile")</f>
        <v>SQL, Agile</v>
      </c>
      <c r="K458" s="7" t="str">
        <f>IFERROR(__xludf.DUMMYFUNCTION("""COMPUTED_VALUE"""),"No job type data")</f>
        <v>No job type data</v>
      </c>
      <c r="L458" s="7" t="str">
        <f>IFERROR(__xludf.DUMMYFUNCTION("""COMPUTED_VALUE"""),"None")</f>
        <v>None</v>
      </c>
      <c r="M458" s="7"/>
      <c r="N458" s="7"/>
      <c r="O458" s="7"/>
    </row>
    <row r="459">
      <c r="A459" s="29">
        <f>IFERROR(__xludf.DUMMYFUNCTION("""COMPUTED_VALUE"""),455.0)</f>
        <v>455</v>
      </c>
      <c r="B459" s="7" t="str">
        <f>IFERROR(__xludf.DUMMYFUNCTION("""COMPUTED_VALUE"""),"vor 24 Tagen")</f>
        <v>vor 24 Tagen</v>
      </c>
      <c r="C459" s="7" t="str">
        <f>IFERROR(__xludf.DUMMYFUNCTION("""COMPUTED_VALUE"""),"Data Architect (m/f/x)")</f>
        <v>Data Architect (m/f/x)</v>
      </c>
      <c r="D459" s="7" t="str">
        <f>IFERROR(__xludf.DUMMYFUNCTION("""COMPUTED_VALUE"""),"Berlin")</f>
        <v>Berlin</v>
      </c>
      <c r="E459" s="7" t="str">
        <f>IFERROR(__xludf.DUMMYFUNCTION("""COMPUTED_VALUE"""),"CarOnSale")</f>
        <v>CarOnSale</v>
      </c>
      <c r="F459" s="7" t="str">
        <f>IFERROR(__xludf.DUMMYFUNCTION("""COMPUTED_VALUE"""),"None")</f>
        <v>None</v>
      </c>
      <c r="G459" s="7" t="str">
        <f>IFERROR(__xludf.DUMMYFUNCTION("""COMPUTED_VALUE"""),"No salary data")</f>
        <v>No salary data</v>
      </c>
      <c r="H459" s="7" t="str">
        <f>IFERROR(__xludf.DUMMYFUNCTION("""COMPUTED_VALUE"""),"No salary data")</f>
        <v>No salary data</v>
      </c>
      <c r="I459" s="7" t="str">
        <f>IFERROR(__xludf.DUMMYFUNCTION("""COMPUTED_VALUE"""),"No salary data")</f>
        <v>No salary data</v>
      </c>
      <c r="J459" s="7" t="str">
        <f>IFERROR(__xludf.DUMMYFUNCTION("""COMPUTED_VALUE"""),"Python, SQL, Tableau, Excel, Git")</f>
        <v>Python, SQL, Tableau, Excel, Git</v>
      </c>
      <c r="K459" s="7" t="str">
        <f>IFERROR(__xludf.DUMMYFUNCTION("""COMPUTED_VALUE"""),"No job type data")</f>
        <v>No job type data</v>
      </c>
      <c r="L459" s="7" t="str">
        <f>IFERROR(__xludf.DUMMYFUNCTION("""COMPUTED_VALUE"""),"None")</f>
        <v>None</v>
      </c>
      <c r="M459" s="7"/>
      <c r="N459" s="7"/>
      <c r="O459" s="7"/>
    </row>
    <row r="460">
      <c r="A460" s="29">
        <f>IFERROR(__xludf.DUMMYFUNCTION("""COMPUTED_VALUE"""),456.0)</f>
        <v>456</v>
      </c>
      <c r="B460" s="7" t="str">
        <f>IFERROR(__xludf.DUMMYFUNCTION("""COMPUTED_VALUE"""),"vor 2 Tagen")</f>
        <v>vor 2 Tagen</v>
      </c>
      <c r="C460" s="7" t="str">
        <f>IFERROR(__xludf.DUMMYFUNCTION("""COMPUTED_VALUE"""),"Big Data Architect")</f>
        <v>Big Data Architect</v>
      </c>
      <c r="D460" s="7" t="str">
        <f>IFERROR(__xludf.DUMMYFUNCTION("""COMPUTED_VALUE"""),"München")</f>
        <v>München</v>
      </c>
      <c r="E460" s="7" t="str">
        <f>IFERROR(__xludf.DUMMYFUNCTION("""COMPUTED_VALUE"""),"STI-Consulting")</f>
        <v>STI-Consulting</v>
      </c>
      <c r="F460" s="7" t="str">
        <f>IFERROR(__xludf.DUMMYFUNCTION("""COMPUTED_VALUE"""),"None")</f>
        <v>None</v>
      </c>
      <c r="G460" s="7" t="str">
        <f>IFERROR(__xludf.DUMMYFUNCTION("""COMPUTED_VALUE"""),"No salary data")</f>
        <v>No salary data</v>
      </c>
      <c r="H460" s="7" t="str">
        <f>IFERROR(__xludf.DUMMYFUNCTION("""COMPUTED_VALUE"""),"No salary data")</f>
        <v>No salary data</v>
      </c>
      <c r="I460" s="7" t="str">
        <f>IFERROR(__xludf.DUMMYFUNCTION("""COMPUTED_VALUE"""),"No salary data")</f>
        <v>No salary data</v>
      </c>
      <c r="J460" s="7" t="str">
        <f>IFERROR(__xludf.DUMMYFUNCTION("""COMPUTED_VALUE"""),"Python, SQL, Agile")</f>
        <v>Python, SQL, Agile</v>
      </c>
      <c r="K460" s="7" t="str">
        <f>IFERROR(__xludf.DUMMYFUNCTION("""COMPUTED_VALUE"""),"No job type data")</f>
        <v>No job type data</v>
      </c>
      <c r="L460" s="7" t="str">
        <f>IFERROR(__xludf.DUMMYFUNCTION("""COMPUTED_VALUE"""),"None")</f>
        <v>None</v>
      </c>
      <c r="M460" s="7"/>
      <c r="N460" s="7"/>
      <c r="O460" s="7"/>
    </row>
    <row r="461">
      <c r="A461" s="29">
        <f>IFERROR(__xludf.DUMMYFUNCTION("""COMPUTED_VALUE"""),457.0)</f>
        <v>457</v>
      </c>
      <c r="B461" s="7" t="str">
        <f>IFERROR(__xludf.DUMMYFUNCTION("""COMPUTED_VALUE"""),"Vor mehr als 30 Tagen")</f>
        <v>Vor mehr als 30 Tagen</v>
      </c>
      <c r="C461" s="7" t="str">
        <f>IFERROR(__xludf.DUMMYFUNCTION("""COMPUTED_VALUE"""),"(JUNIOR) CONSULTANT BUSINESS INTELLIGENCE (M/W/D)")</f>
        <v>(JUNIOR) CONSULTANT BUSINESS INTELLIGENCE (M/W/D)</v>
      </c>
      <c r="D461" s="7" t="str">
        <f>IFERROR(__xludf.DUMMYFUNCTION("""COMPUTED_VALUE"""),"Frankfurt am Main")</f>
        <v>Frankfurt am Main</v>
      </c>
      <c r="E461" s="7" t="str">
        <f>IFERROR(__xludf.DUMMYFUNCTION("""COMPUTED_VALUE"""),"ISR Information Products")</f>
        <v>ISR Information Products</v>
      </c>
      <c r="F461" s="7" t="str">
        <f>IFERROR(__xludf.DUMMYFUNCTION("""COMPUTED_VALUE"""),"None")</f>
        <v>None</v>
      </c>
      <c r="G461" s="7" t="str">
        <f>IFERROR(__xludf.DUMMYFUNCTION("""COMPUTED_VALUE"""),"No salary data")</f>
        <v>No salary data</v>
      </c>
      <c r="H461" s="7" t="str">
        <f>IFERROR(__xludf.DUMMYFUNCTION("""COMPUTED_VALUE"""),"No salary data")</f>
        <v>No salary data</v>
      </c>
      <c r="I461" s="7" t="str">
        <f>IFERROR(__xludf.DUMMYFUNCTION("""COMPUTED_VALUE"""),"No salary data")</f>
        <v>No salary data</v>
      </c>
      <c r="J461" s="7" t="str">
        <f>IFERROR(__xludf.DUMMYFUNCTION("""COMPUTED_VALUE"""),"SQL")</f>
        <v>SQL</v>
      </c>
      <c r="K461" s="7" t="str">
        <f>IFERROR(__xludf.DUMMYFUNCTION("""COMPUTED_VALUE"""),"No job type data")</f>
        <v>No job type data</v>
      </c>
      <c r="L461" s="7" t="str">
        <f>IFERROR(__xludf.DUMMYFUNCTION("""COMPUTED_VALUE"""),"None")</f>
        <v>None</v>
      </c>
      <c r="M461" s="7"/>
      <c r="N461" s="7"/>
      <c r="O461" s="7"/>
    </row>
    <row r="462">
      <c r="A462" s="29">
        <f>IFERROR(__xludf.DUMMYFUNCTION("""COMPUTED_VALUE"""),458.0)</f>
        <v>458</v>
      </c>
      <c r="B462" s="7" t="str">
        <f>IFERROR(__xludf.DUMMYFUNCTION("""COMPUTED_VALUE"""),"Vor mehr als 30 Tagen")</f>
        <v>Vor mehr als 30 Tagen</v>
      </c>
      <c r="C462" s="7" t="str">
        <f>IFERROR(__xludf.DUMMYFUNCTION("""COMPUTED_VALUE"""),"Junior Product Analyst (m/f/d)")</f>
        <v>Junior Product Analyst (m/f/d)</v>
      </c>
      <c r="D462" s="7" t="str">
        <f>IFERROR(__xludf.DUMMYFUNCTION("""COMPUTED_VALUE"""),"Berlin")</f>
        <v>Berlin</v>
      </c>
      <c r="E462" s="7" t="str">
        <f>IFERROR(__xludf.DUMMYFUNCTION("""COMPUTED_VALUE"""),"heycar")</f>
        <v>heycar</v>
      </c>
      <c r="F462" s="7" t="str">
        <f>IFERROR(__xludf.DUMMYFUNCTION("""COMPUTED_VALUE"""),"None")</f>
        <v>None</v>
      </c>
      <c r="G462" s="7" t="str">
        <f>IFERROR(__xludf.DUMMYFUNCTION("""COMPUTED_VALUE"""),"No salary data")</f>
        <v>No salary data</v>
      </c>
      <c r="H462" s="7" t="str">
        <f>IFERROR(__xludf.DUMMYFUNCTION("""COMPUTED_VALUE"""),"No salary data")</f>
        <v>No salary data</v>
      </c>
      <c r="I462" s="7" t="str">
        <f>IFERROR(__xludf.DUMMYFUNCTION("""COMPUTED_VALUE"""),"No salary data")</f>
        <v>No salary data</v>
      </c>
      <c r="J462" s="7" t="str">
        <f>IFERROR(__xludf.DUMMYFUNCTION("""COMPUTED_VALUE"""),"Python, SQL, Tableau, Excel, Statistic, Git, Agile")</f>
        <v>Python, SQL, Tableau, Excel, Statistic, Git, Agile</v>
      </c>
      <c r="K462" s="7" t="str">
        <f>IFERROR(__xludf.DUMMYFUNCTION("""COMPUTED_VALUE"""),"No job type data")</f>
        <v>No job type data</v>
      </c>
      <c r="L462" s="7" t="str">
        <f>IFERROR(__xludf.DUMMYFUNCTION("""COMPUTED_VALUE"""),"4,5")</f>
        <v>4,5</v>
      </c>
      <c r="M462" s="7"/>
      <c r="N462" s="7"/>
      <c r="O462" s="7"/>
    </row>
    <row r="463">
      <c r="A463" s="29">
        <f>IFERROR(__xludf.DUMMYFUNCTION("""COMPUTED_VALUE"""),459.0)</f>
        <v>459</v>
      </c>
      <c r="B463" s="7" t="str">
        <f>IFERROR(__xludf.DUMMYFUNCTION("""COMPUTED_VALUE"""),"Vor mehr als 30 Tagen")</f>
        <v>Vor mehr als 30 Tagen</v>
      </c>
      <c r="C463" s="7" t="str">
        <f>IFERROR(__xludf.DUMMYFUNCTION("""COMPUTED_VALUE"""),"Werkstudent Artificial Intelligence &amp; Data Analytics (m/w/d)")</f>
        <v>Werkstudent Artificial Intelligence &amp; Data Analytics (m/w/d)</v>
      </c>
      <c r="D463" s="7" t="str">
        <f>IFERROR(__xludf.DUMMYFUNCTION("""COMPUTED_VALUE"""),"München")</f>
        <v>München</v>
      </c>
      <c r="E463" s="7" t="str">
        <f>IFERROR(__xludf.DUMMYFUNCTION("""COMPUTED_VALUE"""),"msg systems")</f>
        <v>msg systems</v>
      </c>
      <c r="F463" s="7" t="str">
        <f>IFERROR(__xludf.DUMMYFUNCTION("""COMPUTED_VALUE"""),"None")</f>
        <v>None</v>
      </c>
      <c r="G463" s="7" t="str">
        <f>IFERROR(__xludf.DUMMYFUNCTION("""COMPUTED_VALUE"""),"No salary data")</f>
        <v>No salary data</v>
      </c>
      <c r="H463" s="7" t="str">
        <f>IFERROR(__xludf.DUMMYFUNCTION("""COMPUTED_VALUE"""),"No salary data")</f>
        <v>No salary data</v>
      </c>
      <c r="I463" s="7" t="str">
        <f>IFERROR(__xludf.DUMMYFUNCTION("""COMPUTED_VALUE"""),"No salary data")</f>
        <v>No salary data</v>
      </c>
      <c r="J463" s="7" t="str">
        <f>IFERROR(__xludf.DUMMYFUNCTION("""COMPUTED_VALUE"""),"Machine Learning, Agile, Scrum")</f>
        <v>Machine Learning, Agile, Scrum</v>
      </c>
      <c r="K463" s="7" t="str">
        <f>IFERROR(__xludf.DUMMYFUNCTION("""COMPUTED_VALUE"""),"No job type data")</f>
        <v>No job type data</v>
      </c>
      <c r="L463" s="7" t="str">
        <f>IFERROR(__xludf.DUMMYFUNCTION("""COMPUTED_VALUE"""),"4,6")</f>
        <v>4,6</v>
      </c>
      <c r="M463" s="7"/>
      <c r="N463" s="7"/>
      <c r="O463" s="7"/>
    </row>
    <row r="464">
      <c r="A464" s="29">
        <f>IFERROR(__xludf.DUMMYFUNCTION("""COMPUTED_VALUE"""),460.0)</f>
        <v>460</v>
      </c>
      <c r="B464" s="7" t="str">
        <f>IFERROR(__xludf.DUMMYFUNCTION("""COMPUTED_VALUE"""),"vor 27 Tagen")</f>
        <v>vor 27 Tagen</v>
      </c>
      <c r="C464" s="7" t="str">
        <f>IFERROR(__xludf.DUMMYFUNCTION("""COMPUTED_VALUE"""),"Data Analyst (m/w/d) Leadmanagement und Datenanalyse")</f>
        <v>Data Analyst (m/w/d) Leadmanagement und Datenanalyse</v>
      </c>
      <c r="D464" s="7" t="str">
        <f>IFERROR(__xludf.DUMMYFUNCTION("""COMPUTED_VALUE"""),"Ludwigsburg")</f>
        <v>Ludwigsburg</v>
      </c>
      <c r="E464" s="7" t="str">
        <f>IFERROR(__xludf.DUMMYFUNCTION("""COMPUTED_VALUE"""),"Wüstenrot &amp; Württembergische")</f>
        <v>Wüstenrot &amp; Württembergische</v>
      </c>
      <c r="F464" s="7" t="str">
        <f>IFERROR(__xludf.DUMMYFUNCTION("""COMPUTED_VALUE"""),"None")</f>
        <v>None</v>
      </c>
      <c r="G464" s="7" t="str">
        <f>IFERROR(__xludf.DUMMYFUNCTION("""COMPUTED_VALUE"""),"No salary data")</f>
        <v>No salary data</v>
      </c>
      <c r="H464" s="7" t="str">
        <f>IFERROR(__xludf.DUMMYFUNCTION("""COMPUTED_VALUE"""),"No salary data")</f>
        <v>No salary data</v>
      </c>
      <c r="I464" s="7" t="str">
        <f>IFERROR(__xludf.DUMMYFUNCTION("""COMPUTED_VALUE"""),"No salary data")</f>
        <v>No salary data</v>
      </c>
      <c r="J464" s="7" t="str">
        <f>IFERROR(__xludf.DUMMYFUNCTION("""COMPUTED_VALUE"""),"Excel")</f>
        <v>Excel</v>
      </c>
      <c r="K464" s="7" t="str">
        <f>IFERROR(__xludf.DUMMYFUNCTION("""COMPUTED_VALUE"""),"No job type data")</f>
        <v>No job type data</v>
      </c>
      <c r="L464" s="7" t="str">
        <f>IFERROR(__xludf.DUMMYFUNCTION("""COMPUTED_VALUE"""),"None")</f>
        <v>None</v>
      </c>
      <c r="M464" s="7"/>
      <c r="N464" s="7"/>
      <c r="O464" s="7"/>
    </row>
    <row r="465">
      <c r="A465" s="29">
        <f>IFERROR(__xludf.DUMMYFUNCTION("""COMPUTED_VALUE"""),461.0)</f>
        <v>461</v>
      </c>
      <c r="B465" s="7" t="str">
        <f>IFERROR(__xludf.DUMMYFUNCTION("""COMPUTED_VALUE"""),"Vor mehr als 30 Tagen")</f>
        <v>Vor mehr als 30 Tagen</v>
      </c>
      <c r="C465" s="7" t="str">
        <f>IFERROR(__xludf.DUMMYFUNCTION("""COMPUTED_VALUE"""),"Technology Architect – Data and Analytics - Cloud platforms")</f>
        <v>Technology Architect – Data and Analytics - Cloud platforms</v>
      </c>
      <c r="D465" s="7" t="str">
        <f>IFERROR(__xludf.DUMMYFUNCTION("""COMPUTED_VALUE"""),"München")</f>
        <v>München</v>
      </c>
      <c r="E465" s="7" t="str">
        <f>IFERROR(__xludf.DUMMYFUNCTION("""COMPUTED_VALUE"""),"Infosys Limited")</f>
        <v>Infosys Limited</v>
      </c>
      <c r="F465" s="7" t="str">
        <f>IFERROR(__xludf.DUMMYFUNCTION("""COMPUTED_VALUE"""),"None")</f>
        <v>None</v>
      </c>
      <c r="G465" s="7" t="str">
        <f>IFERROR(__xludf.DUMMYFUNCTION("""COMPUTED_VALUE"""),"No salary data")</f>
        <v>No salary data</v>
      </c>
      <c r="H465" s="7" t="str">
        <f>IFERROR(__xludf.DUMMYFUNCTION("""COMPUTED_VALUE"""),"No salary data")</f>
        <v>No salary data</v>
      </c>
      <c r="I465" s="7" t="str">
        <f>IFERROR(__xludf.DUMMYFUNCTION("""COMPUTED_VALUE"""),"No salary data")</f>
        <v>No salary data</v>
      </c>
      <c r="J465" s="7" t="str">
        <f>IFERROR(__xludf.DUMMYFUNCTION("""COMPUTED_VALUE"""),"Python, SQL, Excel, Git, Agile")</f>
        <v>Python, SQL, Excel, Git, Agile</v>
      </c>
      <c r="K465" s="7" t="str">
        <f>IFERROR(__xludf.DUMMYFUNCTION("""COMPUTED_VALUE"""),"No job type data")</f>
        <v>No job type data</v>
      </c>
      <c r="L465" s="7" t="str">
        <f>IFERROR(__xludf.DUMMYFUNCTION("""COMPUTED_VALUE"""),"3,9")</f>
        <v>3,9</v>
      </c>
      <c r="M465" s="7"/>
      <c r="N465" s="7"/>
      <c r="O465" s="7"/>
    </row>
    <row r="466">
      <c r="A466" s="29">
        <f>IFERROR(__xludf.DUMMYFUNCTION("""COMPUTED_VALUE"""),462.0)</f>
        <v>462</v>
      </c>
      <c r="B466" s="7" t="str">
        <f>IFERROR(__xludf.DUMMYFUNCTION("""COMPUTED_VALUE"""),"Vor mehr als 30 Tagen")</f>
        <v>Vor mehr als 30 Tagen</v>
      </c>
      <c r="C466" s="7" t="str">
        <f>IFERROR(__xludf.DUMMYFUNCTION("""COMPUTED_VALUE"""),"Business Data Analyst")</f>
        <v>Business Data Analyst</v>
      </c>
      <c r="D466" s="7" t="str">
        <f>IFERROR(__xludf.DUMMYFUNCTION("""COMPUTED_VALUE"""),"Berlin")</f>
        <v>Berlin</v>
      </c>
      <c r="E466" s="7" t="str">
        <f>IFERROR(__xludf.DUMMYFUNCTION("""COMPUTED_VALUE"""),"SHERPANY")</f>
        <v>SHERPANY</v>
      </c>
      <c r="F466" s="7" t="str">
        <f>IFERROR(__xludf.DUMMYFUNCTION("""COMPUTED_VALUE"""),"None")</f>
        <v>None</v>
      </c>
      <c r="G466" s="7" t="str">
        <f>IFERROR(__xludf.DUMMYFUNCTION("""COMPUTED_VALUE"""),"No salary data")</f>
        <v>No salary data</v>
      </c>
      <c r="H466" s="7" t="str">
        <f>IFERROR(__xludf.DUMMYFUNCTION("""COMPUTED_VALUE"""),"No salary data")</f>
        <v>No salary data</v>
      </c>
      <c r="I466" s="7" t="str">
        <f>IFERROR(__xludf.DUMMYFUNCTION("""COMPUTED_VALUE"""),"No salary data")</f>
        <v>No salary data</v>
      </c>
      <c r="J466" s="7" t="str">
        <f>IFERROR(__xludf.DUMMYFUNCTION("""COMPUTED_VALUE"""),"Excel, Google Sheets, Statistic, Git")</f>
        <v>Excel, Google Sheets, Statistic, Git</v>
      </c>
      <c r="K466" s="7" t="str">
        <f>IFERROR(__xludf.DUMMYFUNCTION("""COMPUTED_VALUE"""),"No job type data")</f>
        <v>No job type data</v>
      </c>
      <c r="L466" s="7" t="str">
        <f>IFERROR(__xludf.DUMMYFUNCTION("""COMPUTED_VALUE"""),"None")</f>
        <v>None</v>
      </c>
      <c r="M466" s="7"/>
      <c r="N466" s="7"/>
      <c r="O466" s="7"/>
    </row>
    <row r="467">
      <c r="A467" s="29">
        <f>IFERROR(__xludf.DUMMYFUNCTION("""COMPUTED_VALUE"""),463.0)</f>
        <v>463</v>
      </c>
      <c r="B467" s="7" t="str">
        <f>IFERROR(__xludf.DUMMYFUNCTION("""COMPUTED_VALUE"""),"Vor mehr als 30 Tagen")</f>
        <v>Vor mehr als 30 Tagen</v>
      </c>
      <c r="C467" s="7" t="str">
        <f>IFERROR(__xludf.DUMMYFUNCTION("""COMPUTED_VALUE"""),"Trainee Data Science &amp; BI-Consulting (m/w/d)")</f>
        <v>Trainee Data Science &amp; BI-Consulting (m/w/d)</v>
      </c>
      <c r="D467" s="7" t="str">
        <f>IFERROR(__xludf.DUMMYFUNCTION("""COMPUTED_VALUE"""),"Stuttgart")</f>
        <v>Stuttgart</v>
      </c>
      <c r="E467" s="7" t="str">
        <f>IFERROR(__xludf.DUMMYFUNCTION("""COMPUTED_VALUE"""),"DYMATRIX CONSULTING GROUP GmbH")</f>
        <v>DYMATRIX CONSULTING GROUP GmbH</v>
      </c>
      <c r="F467" s="7" t="str">
        <f>IFERROR(__xludf.DUMMYFUNCTION("""COMPUTED_VALUE"""),"None")</f>
        <v>None</v>
      </c>
      <c r="G467" s="7" t="str">
        <f>IFERROR(__xludf.DUMMYFUNCTION("""COMPUTED_VALUE"""),"No salary data")</f>
        <v>No salary data</v>
      </c>
      <c r="H467" s="7" t="str">
        <f>IFERROR(__xludf.DUMMYFUNCTION("""COMPUTED_VALUE"""),"No salary data")</f>
        <v>No salary data</v>
      </c>
      <c r="I467" s="7" t="str">
        <f>IFERROR(__xludf.DUMMYFUNCTION("""COMPUTED_VALUE"""),"No salary data")</f>
        <v>No salary data</v>
      </c>
      <c r="J467" s="7" t="str">
        <f>IFERROR(__xludf.DUMMYFUNCTION("""COMPUTED_VALUE"""),"Python, SQL")</f>
        <v>Python, SQL</v>
      </c>
      <c r="K467" s="7" t="str">
        <f>IFERROR(__xludf.DUMMYFUNCTION("""COMPUTED_VALUE"""),"No job type data")</f>
        <v>No job type data</v>
      </c>
      <c r="L467" s="7" t="str">
        <f>IFERROR(__xludf.DUMMYFUNCTION("""COMPUTED_VALUE"""),"4,8")</f>
        <v>4,8</v>
      </c>
      <c r="M467" s="7"/>
      <c r="N467" s="7"/>
      <c r="O467" s="7"/>
    </row>
    <row r="468">
      <c r="A468" s="29">
        <f>IFERROR(__xludf.DUMMYFUNCTION("""COMPUTED_VALUE"""),464.0)</f>
        <v>464</v>
      </c>
      <c r="B468" s="7" t="str">
        <f>IFERROR(__xludf.DUMMYFUNCTION("""COMPUTED_VALUE"""),"Vor mehr als 30 Tagen")</f>
        <v>Vor mehr als 30 Tagen</v>
      </c>
      <c r="C468" s="7" t="str">
        <f>IFERROR(__xludf.DUMMYFUNCTION("""COMPUTED_VALUE"""),"Data Engineer (f/m/x)")</f>
        <v>Data Engineer (f/m/x)</v>
      </c>
      <c r="D468" s="7" t="str">
        <f>IFERROR(__xludf.DUMMYFUNCTION("""COMPUTED_VALUE"""),"Berlin")</f>
        <v>Berlin</v>
      </c>
      <c r="E468" s="7" t="str">
        <f>IFERROR(__xludf.DUMMYFUNCTION("""COMPUTED_VALUE"""),"diconium group")</f>
        <v>diconium group</v>
      </c>
      <c r="F468" s="7" t="str">
        <f>IFERROR(__xludf.DUMMYFUNCTION("""COMPUTED_VALUE"""),"None")</f>
        <v>None</v>
      </c>
      <c r="G468" s="7" t="str">
        <f>IFERROR(__xludf.DUMMYFUNCTION("""COMPUTED_VALUE"""),"No salary data")</f>
        <v>No salary data</v>
      </c>
      <c r="H468" s="7" t="str">
        <f>IFERROR(__xludf.DUMMYFUNCTION("""COMPUTED_VALUE"""),"No salary data")</f>
        <v>No salary data</v>
      </c>
      <c r="I468" s="7" t="str">
        <f>IFERROR(__xludf.DUMMYFUNCTION("""COMPUTED_VALUE"""),"No salary data")</f>
        <v>No salary data</v>
      </c>
      <c r="J468" s="7" t="str">
        <f>IFERROR(__xludf.DUMMYFUNCTION("""COMPUTED_VALUE"""),"Python, Git, Agile")</f>
        <v>Python, Git, Agile</v>
      </c>
      <c r="K468" s="7" t="str">
        <f>IFERROR(__xludf.DUMMYFUNCTION("""COMPUTED_VALUE"""),"No job type data")</f>
        <v>No job type data</v>
      </c>
      <c r="L468" s="7" t="str">
        <f>IFERROR(__xludf.DUMMYFUNCTION("""COMPUTED_VALUE"""),"3,0")</f>
        <v>3,0</v>
      </c>
      <c r="M468" s="7"/>
      <c r="N468" s="7"/>
      <c r="O468" s="7"/>
    </row>
    <row r="469">
      <c r="A469" s="29">
        <f>IFERROR(__xludf.DUMMYFUNCTION("""COMPUTED_VALUE"""),465.0)</f>
        <v>465</v>
      </c>
      <c r="B469" s="7" t="str">
        <f>IFERROR(__xludf.DUMMYFUNCTION("""COMPUTED_VALUE"""),"Vor mehr als 30 Tagen")</f>
        <v>Vor mehr als 30 Tagen</v>
      </c>
      <c r="C469" s="7" t="str">
        <f>IFERROR(__xludf.DUMMYFUNCTION("""COMPUTED_VALUE"""),"WorkingStudent (f/m/d) Product Analytics")</f>
        <v>WorkingStudent (f/m/d) Product Analytics</v>
      </c>
      <c r="D469" s="7" t="str">
        <f>IFERROR(__xludf.DUMMYFUNCTION("""COMPUTED_VALUE"""),"Berlin")</f>
        <v>Berlin</v>
      </c>
      <c r="E469" s="7" t="str">
        <f>IFERROR(__xludf.DUMMYFUNCTION("""COMPUTED_VALUE"""),"eBay Inc.")</f>
        <v>eBay Inc.</v>
      </c>
      <c r="F469" s="7" t="str">
        <f>IFERROR(__xludf.DUMMYFUNCTION("""COMPUTED_VALUE"""),"None")</f>
        <v>None</v>
      </c>
      <c r="G469" s="7" t="str">
        <f>IFERROR(__xludf.DUMMYFUNCTION("""COMPUTED_VALUE"""),"No salary data")</f>
        <v>No salary data</v>
      </c>
      <c r="H469" s="7" t="str">
        <f>IFERROR(__xludf.DUMMYFUNCTION("""COMPUTED_VALUE"""),"No salary data")</f>
        <v>No salary data</v>
      </c>
      <c r="I469" s="7" t="str">
        <f>IFERROR(__xludf.DUMMYFUNCTION("""COMPUTED_VALUE"""),"No salary data")</f>
        <v>No salary data</v>
      </c>
      <c r="J469" s="7" t="str">
        <f>IFERROR(__xludf.DUMMYFUNCTION("""COMPUTED_VALUE"""),"Python, SQL, Tableau, Excel, Statistic")</f>
        <v>Python, SQL, Tableau, Excel, Statistic</v>
      </c>
      <c r="K469" s="7" t="str">
        <f>IFERROR(__xludf.DUMMYFUNCTION("""COMPUTED_VALUE"""),"No job type data")</f>
        <v>No job type data</v>
      </c>
      <c r="L469" s="7" t="str">
        <f>IFERROR(__xludf.DUMMYFUNCTION("""COMPUTED_VALUE"""),"3,9")</f>
        <v>3,9</v>
      </c>
      <c r="M469" s="7"/>
      <c r="N469" s="7"/>
      <c r="O469" s="7"/>
    </row>
    <row r="470">
      <c r="A470" s="29">
        <f>IFERROR(__xludf.DUMMYFUNCTION("""COMPUTED_VALUE"""),466.0)</f>
        <v>466</v>
      </c>
      <c r="B470" s="7" t="str">
        <f>IFERROR(__xludf.DUMMYFUNCTION("""COMPUTED_VALUE"""),"Vor mehr als 30 Tagen")</f>
        <v>Vor mehr als 30 Tagen</v>
      </c>
      <c r="C470" s="7" t="str">
        <f>IFERROR(__xludf.DUMMYFUNCTION("""COMPUTED_VALUE"""),"Data Architect (m/w/d)")</f>
        <v>Data Architect (m/w/d)</v>
      </c>
      <c r="D470" s="7" t="str">
        <f>IFERROR(__xludf.DUMMYFUNCTION("""COMPUTED_VALUE"""),"Stuttgart")</f>
        <v>Stuttgart</v>
      </c>
      <c r="E470" s="7" t="str">
        <f>IFERROR(__xludf.DUMMYFUNCTION("""COMPUTED_VALUE"""),"Georg Thieme Verlag")</f>
        <v>Georg Thieme Verlag</v>
      </c>
      <c r="F470" s="7" t="str">
        <f>IFERROR(__xludf.DUMMYFUNCTION("""COMPUTED_VALUE"""),"None")</f>
        <v>None</v>
      </c>
      <c r="G470" s="7" t="str">
        <f>IFERROR(__xludf.DUMMYFUNCTION("""COMPUTED_VALUE"""),"No salary data")</f>
        <v>No salary data</v>
      </c>
      <c r="H470" s="7" t="str">
        <f>IFERROR(__xludf.DUMMYFUNCTION("""COMPUTED_VALUE"""),"No salary data")</f>
        <v>No salary data</v>
      </c>
      <c r="I470" s="7" t="str">
        <f>IFERROR(__xludf.DUMMYFUNCTION("""COMPUTED_VALUE"""),"No salary data")</f>
        <v>No salary data</v>
      </c>
      <c r="J470" s="7"/>
      <c r="K470" s="7" t="str">
        <f>IFERROR(__xludf.DUMMYFUNCTION("""COMPUTED_VALUE"""),"No job type data")</f>
        <v>No job type data</v>
      </c>
      <c r="L470" s="7" t="str">
        <f>IFERROR(__xludf.DUMMYFUNCTION("""COMPUTED_VALUE"""),"3,5")</f>
        <v>3,5</v>
      </c>
      <c r="M470" s="7"/>
      <c r="N470" s="7"/>
      <c r="O470" s="7"/>
    </row>
    <row r="471">
      <c r="A471" s="29">
        <f>IFERROR(__xludf.DUMMYFUNCTION("""COMPUTED_VALUE"""),467.0)</f>
        <v>467</v>
      </c>
      <c r="B471" s="7" t="str">
        <f>IFERROR(__xludf.DUMMYFUNCTION("""COMPUTED_VALUE"""),"vor 20 Tagen")</f>
        <v>vor 20 Tagen</v>
      </c>
      <c r="C471" s="7" t="str">
        <f>IFERROR(__xludf.DUMMYFUNCTION("""COMPUTED_VALUE"""),"Data Scientist (m/w/d)")</f>
        <v>Data Scientist (m/w/d)</v>
      </c>
      <c r="D471" s="7" t="str">
        <f>IFERROR(__xludf.DUMMYFUNCTION("""COMPUTED_VALUE"""),"Düsseldorf")</f>
        <v>Düsseldorf</v>
      </c>
      <c r="E471" s="7" t="str">
        <f>IFERROR(__xludf.DUMMYFUNCTION("""COMPUTED_VALUE"""),"ÖRAG-Gesellschaften")</f>
        <v>ÖRAG-Gesellschaften</v>
      </c>
      <c r="F471" s="7" t="str">
        <f>IFERROR(__xludf.DUMMYFUNCTION("""COMPUTED_VALUE"""),"None")</f>
        <v>None</v>
      </c>
      <c r="G471" s="7" t="str">
        <f>IFERROR(__xludf.DUMMYFUNCTION("""COMPUTED_VALUE"""),"No salary data")</f>
        <v>No salary data</v>
      </c>
      <c r="H471" s="7" t="str">
        <f>IFERROR(__xludf.DUMMYFUNCTION("""COMPUTED_VALUE"""),"No salary data")</f>
        <v>No salary data</v>
      </c>
      <c r="I471" s="7" t="str">
        <f>IFERROR(__xludf.DUMMYFUNCTION("""COMPUTED_VALUE"""),"No salary data")</f>
        <v>No salary data</v>
      </c>
      <c r="J471" s="7" t="str">
        <f>IFERROR(__xludf.DUMMYFUNCTION("""COMPUTED_VALUE"""),"Python, SQL, Tableau, Machine Learning")</f>
        <v>Python, SQL, Tableau, Machine Learning</v>
      </c>
      <c r="K471" s="7" t="str">
        <f>IFERROR(__xludf.DUMMYFUNCTION("""COMPUTED_VALUE"""),"No job type data")</f>
        <v>No job type data</v>
      </c>
      <c r="L471" s="7" t="str">
        <f>IFERROR(__xludf.DUMMYFUNCTION("""COMPUTED_VALUE"""),"4,3")</f>
        <v>4,3</v>
      </c>
      <c r="M471" s="7"/>
      <c r="N471" s="7"/>
      <c r="O471" s="7"/>
    </row>
    <row r="472">
      <c r="A472" s="29">
        <f>IFERROR(__xludf.DUMMYFUNCTION("""COMPUTED_VALUE"""),468.0)</f>
        <v>468</v>
      </c>
      <c r="B472" s="7" t="str">
        <f>IFERROR(__xludf.DUMMYFUNCTION("""COMPUTED_VALUE"""),"vor 1 Tag")</f>
        <v>vor 1 Tag</v>
      </c>
      <c r="C472" s="7" t="str">
        <f>IFERROR(__xludf.DUMMYFUNCTION("""COMPUTED_VALUE"""),"Social Media Analyst (f/m/d)")</f>
        <v>Social Media Analyst (f/m/d)</v>
      </c>
      <c r="D472" s="7" t="str">
        <f>IFERROR(__xludf.DUMMYFUNCTION("""COMPUTED_VALUE"""),"Berlin")</f>
        <v>Berlin</v>
      </c>
      <c r="E472" s="7" t="str">
        <f>IFERROR(__xludf.DUMMYFUNCTION("""COMPUTED_VALUE"""),"Divimove GmbH")</f>
        <v>Divimove GmbH</v>
      </c>
      <c r="F472" s="7" t="str">
        <f>IFERROR(__xludf.DUMMYFUNCTION("""COMPUTED_VALUE"""),"None")</f>
        <v>None</v>
      </c>
      <c r="G472" s="7" t="str">
        <f>IFERROR(__xludf.DUMMYFUNCTION("""COMPUTED_VALUE"""),"No salary data")</f>
        <v>No salary data</v>
      </c>
      <c r="H472" s="7" t="str">
        <f>IFERROR(__xludf.DUMMYFUNCTION("""COMPUTED_VALUE"""),"No salary data")</f>
        <v>No salary data</v>
      </c>
      <c r="I472" s="7" t="str">
        <f>IFERROR(__xludf.DUMMYFUNCTION("""COMPUTED_VALUE"""),"No salary data")</f>
        <v>No salary data</v>
      </c>
      <c r="J472" s="7" t="str">
        <f>IFERROR(__xludf.DUMMYFUNCTION("""COMPUTED_VALUE"""),"SQL, Excel")</f>
        <v>SQL, Excel</v>
      </c>
      <c r="K472" s="7" t="str">
        <f>IFERROR(__xludf.DUMMYFUNCTION("""COMPUTED_VALUE"""),"No job type data")</f>
        <v>No job type data</v>
      </c>
      <c r="L472" s="7" t="str">
        <f>IFERROR(__xludf.DUMMYFUNCTION("""COMPUTED_VALUE"""),"2,7")</f>
        <v>2,7</v>
      </c>
      <c r="M472" s="7"/>
      <c r="N472" s="7"/>
      <c r="O472" s="7"/>
    </row>
    <row r="473">
      <c r="A473" s="29">
        <f>IFERROR(__xludf.DUMMYFUNCTION("""COMPUTED_VALUE"""),469.0)</f>
        <v>469</v>
      </c>
      <c r="B473" s="7" t="str">
        <f>IFERROR(__xludf.DUMMYFUNCTION("""COMPUTED_VALUE"""),"vor 7 Tagen")</f>
        <v>vor 7 Tagen</v>
      </c>
      <c r="C473" s="7" t="str">
        <f>IFERROR(__xludf.DUMMYFUNCTION("""COMPUTED_VALUE"""),"Data Scientist (m/w/d)")</f>
        <v>Data Scientist (m/w/d)</v>
      </c>
      <c r="D473" s="7" t="str">
        <f>IFERROR(__xludf.DUMMYFUNCTION("""COMPUTED_VALUE"""),"Freiburg")</f>
        <v>Freiburg</v>
      </c>
      <c r="E473" s="7" t="str">
        <f>IFERROR(__xludf.DUMMYFUNCTION("""COMPUTED_VALUE"""),"Universitätsklinikum Freiburg")</f>
        <v>Universitätsklinikum Freiburg</v>
      </c>
      <c r="F473" s="7" t="str">
        <f>IFERROR(__xludf.DUMMYFUNCTION("""COMPUTED_VALUE"""),"None")</f>
        <v>None</v>
      </c>
      <c r="G473" s="7" t="str">
        <f>IFERROR(__xludf.DUMMYFUNCTION("""COMPUTED_VALUE"""),"No salary data")</f>
        <v>No salary data</v>
      </c>
      <c r="H473" s="7" t="str">
        <f>IFERROR(__xludf.DUMMYFUNCTION("""COMPUTED_VALUE"""),"No salary data")</f>
        <v>No salary data</v>
      </c>
      <c r="I473" s="7" t="str">
        <f>IFERROR(__xludf.DUMMYFUNCTION("""COMPUTED_VALUE"""),"No salary data")</f>
        <v>No salary data</v>
      </c>
      <c r="J473" s="7"/>
      <c r="K473" s="7" t="str">
        <f>IFERROR(__xludf.DUMMYFUNCTION("""COMPUTED_VALUE"""),"No job type data")</f>
        <v>No job type data</v>
      </c>
      <c r="L473" s="7" t="str">
        <f>IFERROR(__xludf.DUMMYFUNCTION("""COMPUTED_VALUE"""),"None")</f>
        <v>None</v>
      </c>
      <c r="M473" s="7"/>
      <c r="N473" s="7"/>
      <c r="O473" s="7"/>
    </row>
    <row r="474">
      <c r="A474" s="29">
        <f>IFERROR(__xludf.DUMMYFUNCTION("""COMPUTED_VALUE"""),470.0)</f>
        <v>470</v>
      </c>
      <c r="B474" s="7" t="str">
        <f>IFERROR(__xludf.DUMMYFUNCTION("""COMPUTED_VALUE"""),"Vor mehr als 30 Tagen")</f>
        <v>Vor mehr als 30 Tagen</v>
      </c>
      <c r="C474" s="7" t="str">
        <f>IFERROR(__xludf.DUMMYFUNCTION("""COMPUTED_VALUE"""),"(Senior) Data Analyst/-Engineer")</f>
        <v>(Senior) Data Analyst/-Engineer</v>
      </c>
      <c r="D474" s="7" t="str">
        <f>IFERROR(__xludf.DUMMYFUNCTION("""COMPUTED_VALUE"""),"München")</f>
        <v>München</v>
      </c>
      <c r="E474" s="7" t="str">
        <f>IFERROR(__xludf.DUMMYFUNCTION("""COMPUTED_VALUE"""),"VEACT GmbH")</f>
        <v>VEACT GmbH</v>
      </c>
      <c r="F474" s="7" t="str">
        <f>IFERROR(__xludf.DUMMYFUNCTION("""COMPUTED_VALUE"""),"None")</f>
        <v>None</v>
      </c>
      <c r="G474" s="7" t="str">
        <f>IFERROR(__xludf.DUMMYFUNCTION("""COMPUTED_VALUE"""),"No salary data")</f>
        <v>No salary data</v>
      </c>
      <c r="H474" s="7" t="str">
        <f>IFERROR(__xludf.DUMMYFUNCTION("""COMPUTED_VALUE"""),"No salary data")</f>
        <v>No salary data</v>
      </c>
      <c r="I474" s="7" t="str">
        <f>IFERROR(__xludf.DUMMYFUNCTION("""COMPUTED_VALUE"""),"No salary data")</f>
        <v>No salary data</v>
      </c>
      <c r="J474" s="7" t="str">
        <f>IFERROR(__xludf.DUMMYFUNCTION("""COMPUTED_VALUE"""),"Python, SQL, Tableau, Excel, Statistic")</f>
        <v>Python, SQL, Tableau, Excel, Statistic</v>
      </c>
      <c r="K474" s="7" t="str">
        <f>IFERROR(__xludf.DUMMYFUNCTION("""COMPUTED_VALUE"""),"No job type data")</f>
        <v>No job type data</v>
      </c>
      <c r="L474" s="7" t="str">
        <f>IFERROR(__xludf.DUMMYFUNCTION("""COMPUTED_VALUE"""),"None")</f>
        <v>None</v>
      </c>
      <c r="M474" s="7"/>
      <c r="N474" s="7"/>
      <c r="O474" s="7"/>
    </row>
    <row r="475">
      <c r="A475" s="29">
        <f>IFERROR(__xludf.DUMMYFUNCTION("""COMPUTED_VALUE"""),471.0)</f>
        <v>471</v>
      </c>
      <c r="B475" s="7" t="str">
        <f>IFERROR(__xludf.DUMMYFUNCTION("""COMPUTED_VALUE"""),"vor 20 Tagen")</f>
        <v>vor 20 Tagen</v>
      </c>
      <c r="C475" s="7" t="str">
        <f>IFERROR(__xludf.DUMMYFUNCTION("""COMPUTED_VALUE"""),"Data Analytics Manager (f/m/d)")</f>
        <v>Data Analytics Manager (f/m/d)</v>
      </c>
      <c r="D475" s="7" t="str">
        <f>IFERROR(__xludf.DUMMYFUNCTION("""COMPUTED_VALUE"""),"München")</f>
        <v>München</v>
      </c>
      <c r="E475" s="7" t="str">
        <f>IFERROR(__xludf.DUMMYFUNCTION("""COMPUTED_VALUE"""),"IconicFinance GmbH")</f>
        <v>IconicFinance GmbH</v>
      </c>
      <c r="F475" s="7" t="str">
        <f>IFERROR(__xludf.DUMMYFUNCTION("""COMPUTED_VALUE"""),"None")</f>
        <v>None</v>
      </c>
      <c r="G475" s="7" t="str">
        <f>IFERROR(__xludf.DUMMYFUNCTION("""COMPUTED_VALUE"""),"No salary data")</f>
        <v>No salary data</v>
      </c>
      <c r="H475" s="7" t="str">
        <f>IFERROR(__xludf.DUMMYFUNCTION("""COMPUTED_VALUE"""),"No salary data")</f>
        <v>No salary data</v>
      </c>
      <c r="I475" s="7" t="str">
        <f>IFERROR(__xludf.DUMMYFUNCTION("""COMPUTED_VALUE"""),"No salary data")</f>
        <v>No salary data</v>
      </c>
      <c r="J475" s="7" t="str">
        <f>IFERROR(__xludf.DUMMYFUNCTION("""COMPUTED_VALUE"""),"Python, SQL, Agile")</f>
        <v>Python, SQL, Agile</v>
      </c>
      <c r="K475" s="7" t="str">
        <f>IFERROR(__xludf.DUMMYFUNCTION("""COMPUTED_VALUE"""),"Contract")</f>
        <v>Contract</v>
      </c>
      <c r="L475" s="7" t="str">
        <f>IFERROR(__xludf.DUMMYFUNCTION("""COMPUTED_VALUE"""),"None")</f>
        <v>None</v>
      </c>
      <c r="M475" s="7"/>
      <c r="N475" s="7"/>
      <c r="O475" s="7"/>
    </row>
    <row r="476">
      <c r="A476" s="29">
        <f>IFERROR(__xludf.DUMMYFUNCTION("""COMPUTED_VALUE"""),472.0)</f>
        <v>472</v>
      </c>
      <c r="B476" s="7" t="str">
        <f>IFERROR(__xludf.DUMMYFUNCTION("""COMPUTED_VALUE"""),"Vor mehr als 30 Tagen")</f>
        <v>Vor mehr als 30 Tagen</v>
      </c>
      <c r="C476" s="7" t="str">
        <f>IFERROR(__xludf.DUMMYFUNCTION("""COMPUTED_VALUE"""),"Business Analyst Data (m/w/d)")</f>
        <v>Business Analyst Data (m/w/d)</v>
      </c>
      <c r="D476" s="7" t="str">
        <f>IFERROR(__xludf.DUMMYFUNCTION("""COMPUTED_VALUE"""),"Bad Homburg vor der Höhe")</f>
        <v>Bad Homburg vor der Höhe</v>
      </c>
      <c r="E476" s="7" t="str">
        <f>IFERROR(__xludf.DUMMYFUNCTION("""COMPUTED_VALUE"""),"Baloise Group")</f>
        <v>Baloise Group</v>
      </c>
      <c r="F476" s="7" t="str">
        <f>IFERROR(__xludf.DUMMYFUNCTION("""COMPUTED_VALUE"""),"None")</f>
        <v>None</v>
      </c>
      <c r="G476" s="7" t="str">
        <f>IFERROR(__xludf.DUMMYFUNCTION("""COMPUTED_VALUE"""),"No salary data")</f>
        <v>No salary data</v>
      </c>
      <c r="H476" s="7" t="str">
        <f>IFERROR(__xludf.DUMMYFUNCTION("""COMPUTED_VALUE"""),"No salary data")</f>
        <v>No salary data</v>
      </c>
      <c r="I476" s="7" t="str">
        <f>IFERROR(__xludf.DUMMYFUNCTION("""COMPUTED_VALUE"""),"No salary data")</f>
        <v>No salary data</v>
      </c>
      <c r="J476" s="7" t="str">
        <f>IFERROR(__xludf.DUMMYFUNCTION("""COMPUTED_VALUE"""),"SQL, Excel")</f>
        <v>SQL, Excel</v>
      </c>
      <c r="K476" s="7" t="str">
        <f>IFERROR(__xludf.DUMMYFUNCTION("""COMPUTED_VALUE"""),"No job type data")</f>
        <v>No job type data</v>
      </c>
      <c r="L476" s="7" t="str">
        <f>IFERROR(__xludf.DUMMYFUNCTION("""COMPUTED_VALUE"""),"None")</f>
        <v>None</v>
      </c>
      <c r="M476" s="7"/>
      <c r="N476" s="7"/>
      <c r="O476" s="7"/>
    </row>
    <row r="477">
      <c r="A477" s="29">
        <f>IFERROR(__xludf.DUMMYFUNCTION("""COMPUTED_VALUE"""),473.0)</f>
        <v>473</v>
      </c>
      <c r="B477" s="7" t="str">
        <f>IFERROR(__xludf.DUMMYFUNCTION("""COMPUTED_VALUE"""),"Vor mehr als 30 Tagen")</f>
        <v>Vor mehr als 30 Tagen</v>
      </c>
      <c r="C477" s="7" t="str">
        <f>IFERROR(__xludf.DUMMYFUNCTION("""COMPUTED_VALUE"""),"Data Scientist (m/w/d)")</f>
        <v>Data Scientist (m/w/d)</v>
      </c>
      <c r="D477" s="7" t="str">
        <f>IFERROR(__xludf.DUMMYFUNCTION("""COMPUTED_VALUE"""),"Karlsruhe")</f>
        <v>Karlsruhe</v>
      </c>
      <c r="E477" s="7" t="str">
        <f>IFERROR(__xludf.DUMMYFUNCTION("""COMPUTED_VALUE"""),"1&amp;1 Telecommunication SE")</f>
        <v>1&amp;1 Telecommunication SE</v>
      </c>
      <c r="F477" s="7" t="str">
        <f>IFERROR(__xludf.DUMMYFUNCTION("""COMPUTED_VALUE"""),"None")</f>
        <v>None</v>
      </c>
      <c r="G477" s="7" t="str">
        <f>IFERROR(__xludf.DUMMYFUNCTION("""COMPUTED_VALUE"""),"No salary data")</f>
        <v>No salary data</v>
      </c>
      <c r="H477" s="7" t="str">
        <f>IFERROR(__xludf.DUMMYFUNCTION("""COMPUTED_VALUE"""),"No salary data")</f>
        <v>No salary data</v>
      </c>
      <c r="I477" s="7" t="str">
        <f>IFERROR(__xludf.DUMMYFUNCTION("""COMPUTED_VALUE"""),"No salary data")</f>
        <v>No salary data</v>
      </c>
      <c r="J477" s="7" t="str">
        <f>IFERROR(__xludf.DUMMYFUNCTION("""COMPUTED_VALUE"""),"Python, SQL, Machine Learning")</f>
        <v>Python, SQL, Machine Learning</v>
      </c>
      <c r="K477" s="7" t="str">
        <f>IFERROR(__xludf.DUMMYFUNCTION("""COMPUTED_VALUE"""),"No job type data")</f>
        <v>No job type data</v>
      </c>
      <c r="L477" s="7" t="str">
        <f>IFERROR(__xludf.DUMMYFUNCTION("""COMPUTED_VALUE"""),"None")</f>
        <v>None</v>
      </c>
      <c r="M477" s="7"/>
      <c r="N477" s="7"/>
      <c r="O477" s="7"/>
    </row>
    <row r="478">
      <c r="A478" s="29">
        <f>IFERROR(__xludf.DUMMYFUNCTION("""COMPUTED_VALUE"""),474.0)</f>
        <v>474</v>
      </c>
      <c r="B478" s="7" t="str">
        <f>IFERROR(__xludf.DUMMYFUNCTION("""COMPUTED_VALUE"""),"Vor mehr als 30 Tagen")</f>
        <v>Vor mehr als 30 Tagen</v>
      </c>
      <c r="C478" s="7" t="str">
        <f>IFERROR(__xludf.DUMMYFUNCTION("""COMPUTED_VALUE"""),"Data Scientist (m/w/d)")</f>
        <v>Data Scientist (m/w/d)</v>
      </c>
      <c r="D478" s="7" t="str">
        <f>IFERROR(__xludf.DUMMYFUNCTION("""COMPUTED_VALUE"""),"Köln")</f>
        <v>Köln</v>
      </c>
      <c r="E478" s="7" t="str">
        <f>IFERROR(__xludf.DUMMYFUNCTION("""COMPUTED_VALUE"""),"ella media GmbH")</f>
        <v>ella media GmbH</v>
      </c>
      <c r="F478" s="7" t="str">
        <f>IFERROR(__xludf.DUMMYFUNCTION("""COMPUTED_VALUE"""),"None")</f>
        <v>None</v>
      </c>
      <c r="G478" s="7" t="str">
        <f>IFERROR(__xludf.DUMMYFUNCTION("""COMPUTED_VALUE"""),"No salary data")</f>
        <v>No salary data</v>
      </c>
      <c r="H478" s="7" t="str">
        <f>IFERROR(__xludf.DUMMYFUNCTION("""COMPUTED_VALUE"""),"No salary data")</f>
        <v>No salary data</v>
      </c>
      <c r="I478" s="7" t="str">
        <f>IFERROR(__xludf.DUMMYFUNCTION("""COMPUTED_VALUE"""),"No salary data")</f>
        <v>No salary data</v>
      </c>
      <c r="J478" s="7" t="str">
        <f>IFERROR(__xludf.DUMMYFUNCTION("""COMPUTED_VALUE"""),"Python, SQL, Machine Learning, Git")</f>
        <v>Python, SQL, Machine Learning, Git</v>
      </c>
      <c r="K478" s="7" t="str">
        <f>IFERROR(__xludf.DUMMYFUNCTION("""COMPUTED_VALUE"""),"No job type data")</f>
        <v>No job type data</v>
      </c>
      <c r="L478" s="7" t="str">
        <f>IFERROR(__xludf.DUMMYFUNCTION("""COMPUTED_VALUE"""),"None")</f>
        <v>None</v>
      </c>
      <c r="M478" s="7"/>
      <c r="N478" s="7"/>
      <c r="O478" s="7"/>
    </row>
    <row r="479">
      <c r="A479" s="29">
        <f>IFERROR(__xludf.DUMMYFUNCTION("""COMPUTED_VALUE"""),475.0)</f>
        <v>475</v>
      </c>
      <c r="B479" s="7" t="str">
        <f>IFERROR(__xludf.DUMMYFUNCTION("""COMPUTED_VALUE"""),"Vor mehr als 30 Tagen")</f>
        <v>Vor mehr als 30 Tagen</v>
      </c>
      <c r="C479" s="7" t="str">
        <f>IFERROR(__xludf.DUMMYFUNCTION("""COMPUTED_VALUE"""),"Data Warehouse / BI Junior Architekt (m/w/d)")</f>
        <v>Data Warehouse / BI Junior Architekt (m/w/d)</v>
      </c>
      <c r="D479" s="7" t="str">
        <f>IFERROR(__xludf.DUMMYFUNCTION("""COMPUTED_VALUE"""),"München")</f>
        <v>München</v>
      </c>
      <c r="E479" s="7" t="str">
        <f>IFERROR(__xludf.DUMMYFUNCTION("""COMPUTED_VALUE"""),"Braincourt")</f>
        <v>Braincourt</v>
      </c>
      <c r="F479" s="7" t="str">
        <f>IFERROR(__xludf.DUMMYFUNCTION("""COMPUTED_VALUE"""),"None")</f>
        <v>None</v>
      </c>
      <c r="G479" s="7" t="str">
        <f>IFERROR(__xludf.DUMMYFUNCTION("""COMPUTED_VALUE"""),"No salary data")</f>
        <v>No salary data</v>
      </c>
      <c r="H479" s="7" t="str">
        <f>IFERROR(__xludf.DUMMYFUNCTION("""COMPUTED_VALUE"""),"No salary data")</f>
        <v>No salary data</v>
      </c>
      <c r="I479" s="7" t="str">
        <f>IFERROR(__xludf.DUMMYFUNCTION("""COMPUTED_VALUE"""),"No salary data")</f>
        <v>No salary data</v>
      </c>
      <c r="J479" s="7" t="str">
        <f>IFERROR(__xludf.DUMMYFUNCTION("""COMPUTED_VALUE"""),"SQL")</f>
        <v>SQL</v>
      </c>
      <c r="K479" s="7" t="str">
        <f>IFERROR(__xludf.DUMMYFUNCTION("""COMPUTED_VALUE"""),"No job type data")</f>
        <v>No job type data</v>
      </c>
      <c r="L479" s="7" t="str">
        <f>IFERROR(__xludf.DUMMYFUNCTION("""COMPUTED_VALUE"""),"None")</f>
        <v>None</v>
      </c>
      <c r="M479" s="7"/>
      <c r="N479" s="7"/>
      <c r="O479" s="7"/>
    </row>
    <row r="480">
      <c r="A480" s="29">
        <f>IFERROR(__xludf.DUMMYFUNCTION("""COMPUTED_VALUE"""),476.0)</f>
        <v>476</v>
      </c>
      <c r="B480" s="7" t="str">
        <f>IFERROR(__xludf.DUMMYFUNCTION("""COMPUTED_VALUE"""),"Vor mehr als 30 Tagen")</f>
        <v>Vor mehr als 30 Tagen</v>
      </c>
      <c r="C480" s="7" t="str">
        <f>IFERROR(__xludf.DUMMYFUNCTION("""COMPUTED_VALUE"""),"Data Architect Business Intelligence &amp; Data Warehouse (m/w/d...")</f>
        <v>Data Architect Business Intelligence &amp; Data Warehouse (m/w/d...</v>
      </c>
      <c r="D480" s="7" t="str">
        <f>IFERROR(__xludf.DUMMYFUNCTION("""COMPUTED_VALUE"""),"Deutschland")</f>
        <v>Deutschland</v>
      </c>
      <c r="E480" s="7" t="str">
        <f>IFERROR(__xludf.DUMMYFUNCTION("""COMPUTED_VALUE"""),"Steria")</f>
        <v>Steria</v>
      </c>
      <c r="F480" s="7" t="str">
        <f>IFERROR(__xludf.DUMMYFUNCTION("""COMPUTED_VALUE"""),"None")</f>
        <v>None</v>
      </c>
      <c r="G480" s="7" t="str">
        <f>IFERROR(__xludf.DUMMYFUNCTION("""COMPUTED_VALUE"""),"No salary data")</f>
        <v>No salary data</v>
      </c>
      <c r="H480" s="7" t="str">
        <f>IFERROR(__xludf.DUMMYFUNCTION("""COMPUTED_VALUE"""),"No salary data")</f>
        <v>No salary data</v>
      </c>
      <c r="I480" s="7" t="str">
        <f>IFERROR(__xludf.DUMMYFUNCTION("""COMPUTED_VALUE"""),"No salary data")</f>
        <v>No salary data</v>
      </c>
      <c r="J480" s="7" t="str">
        <f>IFERROR(__xludf.DUMMYFUNCTION("""COMPUTED_VALUE"""),"SQL")</f>
        <v>SQL</v>
      </c>
      <c r="K480" s="7" t="str">
        <f>IFERROR(__xludf.DUMMYFUNCTION("""COMPUTED_VALUE"""),"No job type data")</f>
        <v>No job type data</v>
      </c>
      <c r="L480" s="7" t="str">
        <f>IFERROR(__xludf.DUMMYFUNCTION("""COMPUTED_VALUE"""),"3,5")</f>
        <v>3,5</v>
      </c>
      <c r="M480" s="7"/>
      <c r="N480" s="7"/>
      <c r="O480" s="7"/>
    </row>
    <row r="481">
      <c r="A481" s="29">
        <f>IFERROR(__xludf.DUMMYFUNCTION("""COMPUTED_VALUE"""),477.0)</f>
        <v>477</v>
      </c>
      <c r="B481" s="7" t="str">
        <f>IFERROR(__xludf.DUMMYFUNCTION("""COMPUTED_VALUE"""),"vor 10 Tagen")</f>
        <v>vor 10 Tagen</v>
      </c>
      <c r="C481" s="7" t="str">
        <f>IFERROR(__xludf.DUMMYFUNCTION("""COMPUTED_VALUE"""),"Junior IT Business Analyst Master Data (f/m/div)*")</f>
        <v>Junior IT Business Analyst Master Data (f/m/div)*</v>
      </c>
      <c r="D481" s="7" t="str">
        <f>IFERROR(__xludf.DUMMYFUNCTION("""COMPUTED_VALUE"""),"München")</f>
        <v>München</v>
      </c>
      <c r="E481" s="7" t="str">
        <f>IFERROR(__xludf.DUMMYFUNCTION("""COMPUTED_VALUE"""),"Infineon Technologies AG")</f>
        <v>Infineon Technologies AG</v>
      </c>
      <c r="F481" s="7" t="str">
        <f>IFERROR(__xludf.DUMMYFUNCTION("""COMPUTED_VALUE"""),"None")</f>
        <v>None</v>
      </c>
      <c r="G481" s="7" t="str">
        <f>IFERROR(__xludf.DUMMYFUNCTION("""COMPUTED_VALUE"""),"No salary data")</f>
        <v>No salary data</v>
      </c>
      <c r="H481" s="7" t="str">
        <f>IFERROR(__xludf.DUMMYFUNCTION("""COMPUTED_VALUE"""),"No salary data")</f>
        <v>No salary data</v>
      </c>
      <c r="I481" s="7" t="str">
        <f>IFERROR(__xludf.DUMMYFUNCTION("""COMPUTED_VALUE"""),"No salary data")</f>
        <v>No salary data</v>
      </c>
      <c r="J481" s="7" t="str">
        <f>IFERROR(__xludf.DUMMYFUNCTION("""COMPUTED_VALUE"""),"SQL")</f>
        <v>SQL</v>
      </c>
      <c r="K481" s="7" t="str">
        <f>IFERROR(__xludf.DUMMYFUNCTION("""COMPUTED_VALUE"""),"Internship")</f>
        <v>Internship</v>
      </c>
      <c r="L481" s="7" t="str">
        <f>IFERROR(__xludf.DUMMYFUNCTION("""COMPUTED_VALUE"""),"4,0")</f>
        <v>4,0</v>
      </c>
      <c r="M481" s="7"/>
      <c r="N481" s="7"/>
      <c r="O481" s="7"/>
    </row>
    <row r="482">
      <c r="A482" s="29">
        <f>IFERROR(__xludf.DUMMYFUNCTION("""COMPUTED_VALUE"""),478.0)</f>
        <v>478</v>
      </c>
      <c r="B482" s="7" t="str">
        <f>IFERROR(__xludf.DUMMYFUNCTION("""COMPUTED_VALUE"""),"Vor mehr als 30 Tagen")</f>
        <v>Vor mehr als 30 Tagen</v>
      </c>
      <c r="C482" s="7" t="str">
        <f>IFERROR(__xludf.DUMMYFUNCTION("""COMPUTED_VALUE"""),"Data analyst for Next Generation Sequencing (NGS) - m|f|d")</f>
        <v>Data analyst for Next Generation Sequencing (NGS) - m|f|d</v>
      </c>
      <c r="D482" s="7" t="str">
        <f>IFERROR(__xludf.DUMMYFUNCTION("""COMPUTED_VALUE"""),"Bergisch Gladbach")</f>
        <v>Bergisch Gladbach</v>
      </c>
      <c r="E482" s="7" t="str">
        <f>IFERROR(__xludf.DUMMYFUNCTION("""COMPUTED_VALUE"""),"Miltenyi Biotec B.V. &amp; Co. KG")</f>
        <v>Miltenyi Biotec B.V. &amp; Co. KG</v>
      </c>
      <c r="F482" s="7" t="str">
        <f>IFERROR(__xludf.DUMMYFUNCTION("""COMPUTED_VALUE"""),"None")</f>
        <v>None</v>
      </c>
      <c r="G482" s="7" t="str">
        <f>IFERROR(__xludf.DUMMYFUNCTION("""COMPUTED_VALUE"""),"No salary data")</f>
        <v>No salary data</v>
      </c>
      <c r="H482" s="7" t="str">
        <f>IFERROR(__xludf.DUMMYFUNCTION("""COMPUTED_VALUE"""),"No salary data")</f>
        <v>No salary data</v>
      </c>
      <c r="I482" s="7" t="str">
        <f>IFERROR(__xludf.DUMMYFUNCTION("""COMPUTED_VALUE"""),"No salary data")</f>
        <v>No salary data</v>
      </c>
      <c r="J482" s="7" t="str">
        <f>IFERROR(__xludf.DUMMYFUNCTION("""COMPUTED_VALUE"""),"Python, Statistic, Linux")</f>
        <v>Python, Statistic, Linux</v>
      </c>
      <c r="K482" s="7" t="str">
        <f>IFERROR(__xludf.DUMMYFUNCTION("""COMPUTED_VALUE"""),"No job type data")</f>
        <v>No job type data</v>
      </c>
      <c r="L482" s="7" t="str">
        <f>IFERROR(__xludf.DUMMYFUNCTION("""COMPUTED_VALUE"""),"None")</f>
        <v>None</v>
      </c>
      <c r="M482" s="7"/>
      <c r="N482" s="7"/>
      <c r="O482" s="7"/>
    </row>
    <row r="483">
      <c r="A483" s="29">
        <f>IFERROR(__xludf.DUMMYFUNCTION("""COMPUTED_VALUE"""),479.0)</f>
        <v>479</v>
      </c>
      <c r="B483" s="7" t="str">
        <f>IFERROR(__xludf.DUMMYFUNCTION("""COMPUTED_VALUE"""),"vor 3 Tagen")</f>
        <v>vor 3 Tagen</v>
      </c>
      <c r="C483" s="7" t="str">
        <f>IFERROR(__xludf.DUMMYFUNCTION("""COMPUTED_VALUE"""),"Data Scientist (m/w/d)")</f>
        <v>Data Scientist (m/w/d)</v>
      </c>
      <c r="D483" s="7" t="str">
        <f>IFERROR(__xludf.DUMMYFUNCTION("""COMPUTED_VALUE"""),"Hamburg")</f>
        <v>Hamburg</v>
      </c>
      <c r="E483" s="7" t="str">
        <f>IFERROR(__xludf.DUMMYFUNCTION("""COMPUTED_VALUE"""),"AKRA")</f>
        <v>AKRA</v>
      </c>
      <c r="F483" s="7" t="str">
        <f>IFERROR(__xludf.DUMMYFUNCTION("""COMPUTED_VALUE"""),"None")</f>
        <v>None</v>
      </c>
      <c r="G483" s="7" t="str">
        <f>IFERROR(__xludf.DUMMYFUNCTION("""COMPUTED_VALUE"""),"No salary data")</f>
        <v>No salary data</v>
      </c>
      <c r="H483" s="7" t="str">
        <f>IFERROR(__xludf.DUMMYFUNCTION("""COMPUTED_VALUE"""),"No salary data")</f>
        <v>No salary data</v>
      </c>
      <c r="I483" s="7" t="str">
        <f>IFERROR(__xludf.DUMMYFUNCTION("""COMPUTED_VALUE"""),"No salary data")</f>
        <v>No salary data</v>
      </c>
      <c r="J483" s="7" t="str">
        <f>IFERROR(__xludf.DUMMYFUNCTION("""COMPUTED_VALUE"""),"SQL, Machine Learning, Agile, Scrum, Kanban")</f>
        <v>SQL, Machine Learning, Agile, Scrum, Kanban</v>
      </c>
      <c r="K483" s="7" t="str">
        <f>IFERROR(__xludf.DUMMYFUNCTION("""COMPUTED_VALUE"""),"No job type data")</f>
        <v>No job type data</v>
      </c>
      <c r="L483" s="7" t="str">
        <f>IFERROR(__xludf.DUMMYFUNCTION("""COMPUTED_VALUE"""),"None")</f>
        <v>None</v>
      </c>
      <c r="M483" s="7"/>
      <c r="N483" s="7"/>
      <c r="O483" s="7"/>
    </row>
    <row r="484">
      <c r="A484" s="29">
        <f>IFERROR(__xludf.DUMMYFUNCTION("""COMPUTED_VALUE"""),480.0)</f>
        <v>480</v>
      </c>
      <c r="B484" s="7" t="str">
        <f>IFERROR(__xludf.DUMMYFUNCTION("""COMPUTED_VALUE"""),"Vor mehr als 30 Tagen")</f>
        <v>Vor mehr als 30 Tagen</v>
      </c>
      <c r="C484" s="7" t="str">
        <f>IFERROR(__xludf.DUMMYFUNCTION("""COMPUTED_VALUE"""),"Data Warehouse / BI Specialist")</f>
        <v>Data Warehouse / BI Specialist</v>
      </c>
      <c r="D484" s="7" t="str">
        <f>IFERROR(__xludf.DUMMYFUNCTION("""COMPUTED_VALUE"""),"Frankfurt am Main")</f>
        <v>Frankfurt am Main</v>
      </c>
      <c r="E484" s="7" t="str">
        <f>IFERROR(__xludf.DUMMYFUNCTION("""COMPUTED_VALUE"""),"NGENA")</f>
        <v>NGENA</v>
      </c>
      <c r="F484" s="7" t="str">
        <f>IFERROR(__xludf.DUMMYFUNCTION("""COMPUTED_VALUE"""),"None")</f>
        <v>None</v>
      </c>
      <c r="G484" s="7" t="str">
        <f>IFERROR(__xludf.DUMMYFUNCTION("""COMPUTED_VALUE"""),"No salary data")</f>
        <v>No salary data</v>
      </c>
      <c r="H484" s="7" t="str">
        <f>IFERROR(__xludf.DUMMYFUNCTION("""COMPUTED_VALUE"""),"No salary data")</f>
        <v>No salary data</v>
      </c>
      <c r="I484" s="7" t="str">
        <f>IFERROR(__xludf.DUMMYFUNCTION("""COMPUTED_VALUE"""),"No salary data")</f>
        <v>No salary data</v>
      </c>
      <c r="J484" s="7" t="str">
        <f>IFERROR(__xludf.DUMMYFUNCTION("""COMPUTED_VALUE"""),"SQL, Tableau, Agile")</f>
        <v>SQL, Tableau, Agile</v>
      </c>
      <c r="K484" s="7" t="str">
        <f>IFERROR(__xludf.DUMMYFUNCTION("""COMPUTED_VALUE"""),"No job type data")</f>
        <v>No job type data</v>
      </c>
      <c r="L484" s="7" t="str">
        <f>IFERROR(__xludf.DUMMYFUNCTION("""COMPUTED_VALUE"""),"None")</f>
        <v>None</v>
      </c>
      <c r="M484" s="7"/>
      <c r="N484" s="7"/>
      <c r="O484" s="7"/>
    </row>
    <row r="485">
      <c r="A485" s="29">
        <f>IFERROR(__xludf.DUMMYFUNCTION("""COMPUTED_VALUE"""),481.0)</f>
        <v>481</v>
      </c>
      <c r="B485" s="7" t="str">
        <f>IFERROR(__xludf.DUMMYFUNCTION("""COMPUTED_VALUE"""),"Vor mehr als 30 Tagen")</f>
        <v>Vor mehr als 30 Tagen</v>
      </c>
      <c r="C485" s="7" t="str">
        <f>IFERROR(__xludf.DUMMYFUNCTION("""COMPUTED_VALUE"""),"Digital Analytics Consultant")</f>
        <v>Digital Analytics Consultant</v>
      </c>
      <c r="D485" s="7" t="str">
        <f>IFERROR(__xludf.DUMMYFUNCTION("""COMPUTED_VALUE"""),"Hamburg")</f>
        <v>Hamburg</v>
      </c>
      <c r="E485" s="7" t="str">
        <f>IFERROR(__xludf.DUMMYFUNCTION("""COMPUTED_VALUE"""),"Digital Motion")</f>
        <v>Digital Motion</v>
      </c>
      <c r="F485" s="7" t="str">
        <f>IFERROR(__xludf.DUMMYFUNCTION("""COMPUTED_VALUE"""),"None")</f>
        <v>None</v>
      </c>
      <c r="G485" s="7" t="str">
        <f>IFERROR(__xludf.DUMMYFUNCTION("""COMPUTED_VALUE"""),"No salary data")</f>
        <v>No salary data</v>
      </c>
      <c r="H485" s="7" t="str">
        <f>IFERROR(__xludf.DUMMYFUNCTION("""COMPUTED_VALUE"""),"No salary data")</f>
        <v>No salary data</v>
      </c>
      <c r="I485" s="7" t="str">
        <f>IFERROR(__xludf.DUMMYFUNCTION("""COMPUTED_VALUE"""),"No salary data")</f>
        <v>No salary data</v>
      </c>
      <c r="J485" s="7" t="str">
        <f>IFERROR(__xludf.DUMMYFUNCTION("""COMPUTED_VALUE"""),"Python, SQL, Tableau, Git, Agile")</f>
        <v>Python, SQL, Tableau, Git, Agile</v>
      </c>
      <c r="K485" s="7" t="str">
        <f>IFERROR(__xludf.DUMMYFUNCTION("""COMPUTED_VALUE"""),"No job type data")</f>
        <v>No job type data</v>
      </c>
      <c r="L485" s="7" t="str">
        <f>IFERROR(__xludf.DUMMYFUNCTION("""COMPUTED_VALUE"""),"None")</f>
        <v>None</v>
      </c>
      <c r="M485" s="7"/>
      <c r="N485" s="7"/>
      <c r="O485" s="7"/>
    </row>
    <row r="486">
      <c r="A486" s="29">
        <f>IFERROR(__xludf.DUMMYFUNCTION("""COMPUTED_VALUE"""),482.0)</f>
        <v>482</v>
      </c>
      <c r="B486" s="7" t="str">
        <f>IFERROR(__xludf.DUMMYFUNCTION("""COMPUTED_VALUE"""),"vor 19 Tagen")</f>
        <v>vor 19 Tagen</v>
      </c>
      <c r="C486" s="7" t="str">
        <f>IFERROR(__xludf.DUMMYFUNCTION("""COMPUTED_VALUE"""),"Working Student/Internship Data Efficiency &amp; Analytics (m/f/...")</f>
        <v>Working Student/Internship Data Efficiency &amp; Analytics (m/f/...</v>
      </c>
      <c r="D486" s="7" t="str">
        <f>IFERROR(__xludf.DUMMYFUNCTION("""COMPUTED_VALUE"""),"Hamburg")</f>
        <v>Hamburg</v>
      </c>
      <c r="E486" s="7" t="str">
        <f>IFERROR(__xludf.DUMMYFUNCTION("""COMPUTED_VALUE"""),"Philips")</f>
        <v>Philips</v>
      </c>
      <c r="F486" s="7" t="str">
        <f>IFERROR(__xludf.DUMMYFUNCTION("""COMPUTED_VALUE"""),"None")</f>
        <v>None</v>
      </c>
      <c r="G486" s="7" t="str">
        <f>IFERROR(__xludf.DUMMYFUNCTION("""COMPUTED_VALUE"""),"No salary data")</f>
        <v>No salary data</v>
      </c>
      <c r="H486" s="7" t="str">
        <f>IFERROR(__xludf.DUMMYFUNCTION("""COMPUTED_VALUE"""),"No salary data")</f>
        <v>No salary data</v>
      </c>
      <c r="I486" s="7" t="str">
        <f>IFERROR(__xludf.DUMMYFUNCTION("""COMPUTED_VALUE"""),"No salary data")</f>
        <v>No salary data</v>
      </c>
      <c r="J486" s="7" t="str">
        <f>IFERROR(__xludf.DUMMYFUNCTION("""COMPUTED_VALUE"""),"Excel")</f>
        <v>Excel</v>
      </c>
      <c r="K486" s="7" t="str">
        <f>IFERROR(__xludf.DUMMYFUNCTION("""COMPUTED_VALUE"""),"Internship")</f>
        <v>Internship</v>
      </c>
      <c r="L486" s="7" t="str">
        <f>IFERROR(__xludf.DUMMYFUNCTION("""COMPUTED_VALUE"""),"4,0")</f>
        <v>4,0</v>
      </c>
      <c r="M486" s="7"/>
      <c r="N486" s="7"/>
      <c r="O486" s="7"/>
    </row>
    <row r="487">
      <c r="A487" s="29">
        <f>IFERROR(__xludf.DUMMYFUNCTION("""COMPUTED_VALUE"""),483.0)</f>
        <v>483</v>
      </c>
      <c r="B487" s="7" t="str">
        <f>IFERROR(__xludf.DUMMYFUNCTION("""COMPUTED_VALUE"""),"vor 17 Tagen")</f>
        <v>vor 17 Tagen</v>
      </c>
      <c r="C487" s="7" t="str">
        <f>IFERROR(__xludf.DUMMYFUNCTION("""COMPUTED_VALUE"""),"Data Scientist (w/m/d) Künstliche Intelligenz / Machine Lear...")</f>
        <v>Data Scientist (w/m/d) Künstliche Intelligenz / Machine Lear...</v>
      </c>
      <c r="D487" s="7" t="str">
        <f>IFERROR(__xludf.DUMMYFUNCTION("""COMPUTED_VALUE"""),"Oldenburg")</f>
        <v>Oldenburg</v>
      </c>
      <c r="E487" s="7" t="str">
        <f>IFERROR(__xludf.DUMMYFUNCTION("""COMPUTED_VALUE"""),"BTC AG")</f>
        <v>BTC AG</v>
      </c>
      <c r="F487" s="7" t="str">
        <f>IFERROR(__xludf.DUMMYFUNCTION("""COMPUTED_VALUE"""),"None")</f>
        <v>None</v>
      </c>
      <c r="G487" s="7" t="str">
        <f>IFERROR(__xludf.DUMMYFUNCTION("""COMPUTED_VALUE"""),"No salary data")</f>
        <v>No salary data</v>
      </c>
      <c r="H487" s="7" t="str">
        <f>IFERROR(__xludf.DUMMYFUNCTION("""COMPUTED_VALUE"""),"No salary data")</f>
        <v>No salary data</v>
      </c>
      <c r="I487" s="7" t="str">
        <f>IFERROR(__xludf.DUMMYFUNCTION("""COMPUTED_VALUE"""),"No salary data")</f>
        <v>No salary data</v>
      </c>
      <c r="J487" s="7" t="str">
        <f>IFERROR(__xludf.DUMMYFUNCTION("""COMPUTED_VALUE"""),"Python, Machine Learning")</f>
        <v>Python, Machine Learning</v>
      </c>
      <c r="K487" s="7" t="str">
        <f>IFERROR(__xludf.DUMMYFUNCTION("""COMPUTED_VALUE"""),"No job type data")</f>
        <v>No job type data</v>
      </c>
      <c r="L487" s="7" t="str">
        <f>IFERROR(__xludf.DUMMYFUNCTION("""COMPUTED_VALUE"""),"3,0")</f>
        <v>3,0</v>
      </c>
      <c r="M487" s="7"/>
      <c r="N487" s="7"/>
      <c r="O487" s="7"/>
    </row>
    <row r="488">
      <c r="A488" s="29">
        <f>IFERROR(__xludf.DUMMYFUNCTION("""COMPUTED_VALUE"""),484.0)</f>
        <v>484</v>
      </c>
      <c r="B488" s="7" t="str">
        <f>IFERROR(__xludf.DUMMYFUNCTION("""COMPUTED_VALUE"""),"vor 24 Tagen")</f>
        <v>vor 24 Tagen</v>
      </c>
      <c r="C488" s="7" t="str">
        <f>IFERROR(__xludf.DUMMYFUNCTION("""COMPUTED_VALUE"""),"Database and Business Intelligence Software Developer (m/w/d...")</f>
        <v>Database and Business Intelligence Software Developer (m/w/d...</v>
      </c>
      <c r="D488" s="7" t="str">
        <f>IFERROR(__xludf.DUMMYFUNCTION("""COMPUTED_VALUE"""),"Ulm")</f>
        <v>Ulm</v>
      </c>
      <c r="E488" s="7" t="str">
        <f>IFERROR(__xludf.DUMMYFUNCTION("""COMPUTED_VALUE"""),"Trumpf")</f>
        <v>Trumpf</v>
      </c>
      <c r="F488" s="7" t="str">
        <f>IFERROR(__xludf.DUMMYFUNCTION("""COMPUTED_VALUE"""),"None")</f>
        <v>None</v>
      </c>
      <c r="G488" s="7" t="str">
        <f>IFERROR(__xludf.DUMMYFUNCTION("""COMPUTED_VALUE"""),"No salary data")</f>
        <v>No salary data</v>
      </c>
      <c r="H488" s="7" t="str">
        <f>IFERROR(__xludf.DUMMYFUNCTION("""COMPUTED_VALUE"""),"No salary data")</f>
        <v>No salary data</v>
      </c>
      <c r="I488" s="7" t="str">
        <f>IFERROR(__xludf.DUMMYFUNCTION("""COMPUTED_VALUE"""),"No salary data")</f>
        <v>No salary data</v>
      </c>
      <c r="J488" s="7" t="str">
        <f>IFERROR(__xludf.DUMMYFUNCTION("""COMPUTED_VALUE"""),"Python, SQL")</f>
        <v>Python, SQL</v>
      </c>
      <c r="K488" s="7" t="str">
        <f>IFERROR(__xludf.DUMMYFUNCTION("""COMPUTED_VALUE"""),"No job type data")</f>
        <v>No job type data</v>
      </c>
      <c r="L488" s="7" t="str">
        <f>IFERROR(__xludf.DUMMYFUNCTION("""COMPUTED_VALUE"""),"3,9")</f>
        <v>3,9</v>
      </c>
      <c r="M488" s="7"/>
      <c r="N488" s="7"/>
      <c r="O488" s="7"/>
    </row>
    <row r="489">
      <c r="A489" s="29">
        <f>IFERROR(__xludf.DUMMYFUNCTION("""COMPUTED_VALUE"""),485.0)</f>
        <v>485</v>
      </c>
      <c r="B489" s="7" t="str">
        <f>IFERROR(__xludf.DUMMYFUNCTION("""COMPUTED_VALUE"""),"Vor mehr als 30 Tagen")</f>
        <v>Vor mehr als 30 Tagen</v>
      </c>
      <c r="C489" s="7" t="str">
        <f>IFERROR(__xludf.DUMMYFUNCTION("""COMPUTED_VALUE"""),"Junior Data Visualisation Developer (m/f/d)")</f>
        <v>Junior Data Visualisation Developer (m/f/d)</v>
      </c>
      <c r="D489" s="7" t="str">
        <f>IFERROR(__xludf.DUMMYFUNCTION("""COMPUTED_VALUE"""),"München")</f>
        <v>München</v>
      </c>
      <c r="E489" s="7" t="str">
        <f>IFERROR(__xludf.DUMMYFUNCTION("""COMPUTED_VALUE"""),"Betterfront Technologies GmbH")</f>
        <v>Betterfront Technologies GmbH</v>
      </c>
      <c r="F489" s="7" t="str">
        <f>IFERROR(__xludf.DUMMYFUNCTION("""COMPUTED_VALUE"""),"35,000 € - 45,000 € pro Jahr")</f>
        <v>35,000 € - 45,000 € pro Jahr</v>
      </c>
      <c r="G489" s="7">
        <f>IFERROR(__xludf.DUMMYFUNCTION("""COMPUTED_VALUE"""),40000.0)</f>
        <v>40000</v>
      </c>
      <c r="H489" s="7" t="str">
        <f>IFERROR(__xludf.DUMMYFUNCTION("""COMPUTED_VALUE"""),"Jahr")</f>
        <v>Jahr</v>
      </c>
      <c r="I489" s="7">
        <f>IFERROR(__xludf.DUMMYFUNCTION("""COMPUTED_VALUE"""),40000.0)</f>
        <v>40000</v>
      </c>
      <c r="J489" s="7" t="str">
        <f>IFERROR(__xludf.DUMMYFUNCTION("""COMPUTED_VALUE"""),"Git, Agile")</f>
        <v>Git, Agile</v>
      </c>
      <c r="K489" s="7" t="str">
        <f>IFERROR(__xludf.DUMMYFUNCTION("""COMPUTED_VALUE"""),"No job type data")</f>
        <v>No job type data</v>
      </c>
      <c r="L489" s="7" t="str">
        <f>IFERROR(__xludf.DUMMYFUNCTION("""COMPUTED_VALUE"""),"None")</f>
        <v>None</v>
      </c>
      <c r="M489" s="7"/>
      <c r="N489" s="7"/>
      <c r="O489" s="7"/>
    </row>
    <row r="490">
      <c r="A490" s="29">
        <f>IFERROR(__xludf.DUMMYFUNCTION("""COMPUTED_VALUE"""),486.0)</f>
        <v>486</v>
      </c>
      <c r="B490" s="7" t="str">
        <f>IFERROR(__xludf.DUMMYFUNCTION("""COMPUTED_VALUE"""),"vor 10 Tagen")</f>
        <v>vor 10 Tagen</v>
      </c>
      <c r="C490" s="7" t="str">
        <f>IFERROR(__xludf.DUMMYFUNCTION("""COMPUTED_VALUE"""),"Research Software Engineer for advanced image annotation too...")</f>
        <v>Research Software Engineer for advanced image annotation too...</v>
      </c>
      <c r="D490" s="7" t="str">
        <f>IFERROR(__xludf.DUMMYFUNCTION("""COMPUTED_VALUE"""),"Heidelberg")</f>
        <v>Heidelberg</v>
      </c>
      <c r="E490" s="7" t="str">
        <f>IFERROR(__xludf.DUMMYFUNCTION("""COMPUTED_VALUE"""),"Deutsches Krebsforschungszentrum")</f>
        <v>Deutsches Krebsforschungszentrum</v>
      </c>
      <c r="F490" s="7" t="str">
        <f>IFERROR(__xludf.DUMMYFUNCTION("""COMPUTED_VALUE"""),"None")</f>
        <v>None</v>
      </c>
      <c r="G490" s="7" t="str">
        <f>IFERROR(__xludf.DUMMYFUNCTION("""COMPUTED_VALUE"""),"No salary data")</f>
        <v>No salary data</v>
      </c>
      <c r="H490" s="7" t="str">
        <f>IFERROR(__xludf.DUMMYFUNCTION("""COMPUTED_VALUE"""),"No salary data")</f>
        <v>No salary data</v>
      </c>
      <c r="I490" s="7" t="str">
        <f>IFERROR(__xludf.DUMMYFUNCTION("""COMPUTED_VALUE"""),"No salary data")</f>
        <v>No salary data</v>
      </c>
      <c r="J490" s="7" t="str">
        <f>IFERROR(__xludf.DUMMYFUNCTION("""COMPUTED_VALUE"""),"Python, Machine Learning, Statistic")</f>
        <v>Python, Machine Learning, Statistic</v>
      </c>
      <c r="K490" s="7" t="str">
        <f>IFERROR(__xludf.DUMMYFUNCTION("""COMPUTED_VALUE"""),"Part-Time")</f>
        <v>Part-Time</v>
      </c>
      <c r="L490" s="7" t="str">
        <f>IFERROR(__xludf.DUMMYFUNCTION("""COMPUTED_VALUE"""),"3,8")</f>
        <v>3,8</v>
      </c>
      <c r="M490" s="7"/>
      <c r="N490" s="7"/>
      <c r="O490" s="7"/>
    </row>
    <row r="491">
      <c r="A491" s="29">
        <f>IFERROR(__xludf.DUMMYFUNCTION("""COMPUTED_VALUE"""),487.0)</f>
        <v>487</v>
      </c>
      <c r="B491" s="7" t="str">
        <f>IFERROR(__xludf.DUMMYFUNCTION("""COMPUTED_VALUE"""),"vor 5 Tagen")</f>
        <v>vor 5 Tagen</v>
      </c>
      <c r="C491" s="7" t="str">
        <f>IFERROR(__xludf.DUMMYFUNCTION("""COMPUTED_VALUE"""),"Postdoctoral Researcher for Serial Femtosecond Crystallograp...")</f>
        <v>Postdoctoral Researcher for Serial Femtosecond Crystallograp...</v>
      </c>
      <c r="D491" s="7" t="str">
        <f>IFERROR(__xludf.DUMMYFUNCTION("""COMPUTED_VALUE"""),"Hamburg")</f>
        <v>Hamburg</v>
      </c>
      <c r="E491" s="7" t="str">
        <f>IFERROR(__xludf.DUMMYFUNCTION("""COMPUTED_VALUE"""),"European XFEL")</f>
        <v>European XFEL</v>
      </c>
      <c r="F491" s="7" t="str">
        <f>IFERROR(__xludf.DUMMYFUNCTION("""COMPUTED_VALUE"""),"None")</f>
        <v>None</v>
      </c>
      <c r="G491" s="7" t="str">
        <f>IFERROR(__xludf.DUMMYFUNCTION("""COMPUTED_VALUE"""),"No salary data")</f>
        <v>No salary data</v>
      </c>
      <c r="H491" s="7" t="str">
        <f>IFERROR(__xludf.DUMMYFUNCTION("""COMPUTED_VALUE"""),"No salary data")</f>
        <v>No salary data</v>
      </c>
      <c r="I491" s="7" t="str">
        <f>IFERROR(__xludf.DUMMYFUNCTION("""COMPUTED_VALUE"""),"No salary data")</f>
        <v>No salary data</v>
      </c>
      <c r="J491" s="7" t="str">
        <f>IFERROR(__xludf.DUMMYFUNCTION("""COMPUTED_VALUE"""),"Python")</f>
        <v>Python</v>
      </c>
      <c r="K491" s="7" t="str">
        <f>IFERROR(__xludf.DUMMYFUNCTION("""COMPUTED_VALUE"""),"No job type data")</f>
        <v>No job type data</v>
      </c>
      <c r="L491" s="7" t="str">
        <f>IFERROR(__xludf.DUMMYFUNCTION("""COMPUTED_VALUE"""),"None")</f>
        <v>None</v>
      </c>
      <c r="M491" s="7"/>
      <c r="N491" s="7"/>
      <c r="O491" s="7"/>
    </row>
    <row r="492">
      <c r="A492" s="29">
        <f>IFERROR(__xludf.DUMMYFUNCTION("""COMPUTED_VALUE"""),488.0)</f>
        <v>488</v>
      </c>
      <c r="B492" s="7" t="str">
        <f>IFERROR(__xludf.DUMMYFUNCTION("""COMPUTED_VALUE"""),"Heute")</f>
        <v>Heute</v>
      </c>
      <c r="C492" s="7" t="str">
        <f>IFERROR(__xludf.DUMMYFUNCTION("""COMPUTED_VALUE"""),"Database Administrator (m/f/d)")</f>
        <v>Database Administrator (m/f/d)</v>
      </c>
      <c r="D492" s="7" t="str">
        <f>IFERROR(__xludf.DUMMYFUNCTION("""COMPUTED_VALUE"""),"Köln")</f>
        <v>Köln</v>
      </c>
      <c r="E492" s="7" t="str">
        <f>IFERROR(__xludf.DUMMYFUNCTION("""COMPUTED_VALUE"""),"HRS Group")</f>
        <v>HRS Group</v>
      </c>
      <c r="F492" s="7" t="str">
        <f>IFERROR(__xludf.DUMMYFUNCTION("""COMPUTED_VALUE"""),"None")</f>
        <v>None</v>
      </c>
      <c r="G492" s="7" t="str">
        <f>IFERROR(__xludf.DUMMYFUNCTION("""COMPUTED_VALUE"""),"No salary data")</f>
        <v>No salary data</v>
      </c>
      <c r="H492" s="7" t="str">
        <f>IFERROR(__xludf.DUMMYFUNCTION("""COMPUTED_VALUE"""),"No salary data")</f>
        <v>No salary data</v>
      </c>
      <c r="I492" s="7" t="str">
        <f>IFERROR(__xludf.DUMMYFUNCTION("""COMPUTED_VALUE"""),"No salary data")</f>
        <v>No salary data</v>
      </c>
      <c r="J492" s="7" t="str">
        <f>IFERROR(__xludf.DUMMYFUNCTION("""COMPUTED_VALUE"""),"SQL")</f>
        <v>SQL</v>
      </c>
      <c r="K492" s="7" t="str">
        <f>IFERROR(__xludf.DUMMYFUNCTION("""COMPUTED_VALUE"""),"No job type data")</f>
        <v>No job type data</v>
      </c>
      <c r="L492" s="7" t="str">
        <f>IFERROR(__xludf.DUMMYFUNCTION("""COMPUTED_VALUE"""),"None")</f>
        <v>None</v>
      </c>
      <c r="M492" s="7"/>
      <c r="N492" s="7"/>
      <c r="O492" s="7"/>
    </row>
    <row r="493">
      <c r="A493" s="29">
        <f>IFERROR(__xludf.DUMMYFUNCTION("""COMPUTED_VALUE"""),489.0)</f>
        <v>489</v>
      </c>
      <c r="B493" s="7" t="str">
        <f>IFERROR(__xludf.DUMMYFUNCTION("""COMPUTED_VALUE"""),"vor 7 Tagen")</f>
        <v>vor 7 Tagen</v>
      </c>
      <c r="C493" s="7" t="str">
        <f>IFERROR(__xludf.DUMMYFUNCTION("""COMPUTED_VALUE"""),"Data Strategy Consultant (m/w/d)")</f>
        <v>Data Strategy Consultant (m/w/d)</v>
      </c>
      <c r="D493" s="7" t="str">
        <f>IFERROR(__xludf.DUMMYFUNCTION("""COMPUTED_VALUE"""),"Haar")</f>
        <v>Haar</v>
      </c>
      <c r="E493" s="7" t="str">
        <f>IFERROR(__xludf.DUMMYFUNCTION("""COMPUTED_VALUE"""),"Information Quality Institute GmbH")</f>
        <v>Information Quality Institute GmbH</v>
      </c>
      <c r="F493" s="7" t="str">
        <f>IFERROR(__xludf.DUMMYFUNCTION("""COMPUTED_VALUE"""),"None")</f>
        <v>None</v>
      </c>
      <c r="G493" s="7" t="str">
        <f>IFERROR(__xludf.DUMMYFUNCTION("""COMPUTED_VALUE"""),"No salary data")</f>
        <v>No salary data</v>
      </c>
      <c r="H493" s="7" t="str">
        <f>IFERROR(__xludf.DUMMYFUNCTION("""COMPUTED_VALUE"""),"No salary data")</f>
        <v>No salary data</v>
      </c>
      <c r="I493" s="7" t="str">
        <f>IFERROR(__xludf.DUMMYFUNCTION("""COMPUTED_VALUE"""),"No salary data")</f>
        <v>No salary data</v>
      </c>
      <c r="J493" s="7" t="str">
        <f>IFERROR(__xludf.DUMMYFUNCTION("""COMPUTED_VALUE"""),"Python, SQL, Excel")</f>
        <v>Python, SQL, Excel</v>
      </c>
      <c r="K493" s="7" t="str">
        <f>IFERROR(__xludf.DUMMYFUNCTION("""COMPUTED_VALUE"""),"No job type data")</f>
        <v>No job type data</v>
      </c>
      <c r="L493" s="7" t="str">
        <f>IFERROR(__xludf.DUMMYFUNCTION("""COMPUTED_VALUE"""),"None")</f>
        <v>None</v>
      </c>
      <c r="M493" s="7"/>
      <c r="N493" s="7"/>
      <c r="O493" s="7"/>
    </row>
    <row r="494">
      <c r="A494" s="29">
        <f>IFERROR(__xludf.DUMMYFUNCTION("""COMPUTED_VALUE"""),490.0)</f>
        <v>490</v>
      </c>
      <c r="B494" s="7" t="str">
        <f>IFERROR(__xludf.DUMMYFUNCTION("""COMPUTED_VALUE"""),"Vor mehr als 30 Tagen")</f>
        <v>Vor mehr als 30 Tagen</v>
      </c>
      <c r="C494" s="7" t="str">
        <f>IFERROR(__xludf.DUMMYFUNCTION("""COMPUTED_VALUE"""),"Consultant (all genders) Digital Data Science/Analytics")</f>
        <v>Consultant (all genders) Digital Data Science/Analytics</v>
      </c>
      <c r="D494" s="7" t="str">
        <f>IFERROR(__xludf.DUMMYFUNCTION("""COMPUTED_VALUE"""),"Frankfurt am Main")</f>
        <v>Frankfurt am Main</v>
      </c>
      <c r="E494" s="7" t="str">
        <f>IFERROR(__xludf.DUMMYFUNCTION("""COMPUTED_VALUE"""),"Accenture")</f>
        <v>Accenture</v>
      </c>
      <c r="F494" s="7" t="str">
        <f>IFERROR(__xludf.DUMMYFUNCTION("""COMPUTED_VALUE"""),"None")</f>
        <v>None</v>
      </c>
      <c r="G494" s="7" t="str">
        <f>IFERROR(__xludf.DUMMYFUNCTION("""COMPUTED_VALUE"""),"No salary data")</f>
        <v>No salary data</v>
      </c>
      <c r="H494" s="7" t="str">
        <f>IFERROR(__xludf.DUMMYFUNCTION("""COMPUTED_VALUE"""),"No salary data")</f>
        <v>No salary data</v>
      </c>
      <c r="I494" s="7" t="str">
        <f>IFERROR(__xludf.DUMMYFUNCTION("""COMPUTED_VALUE"""),"No salary data")</f>
        <v>No salary data</v>
      </c>
      <c r="J494" s="7" t="str">
        <f>IFERROR(__xludf.DUMMYFUNCTION("""COMPUTED_VALUE"""),"Python, SQL, Tableau, Machine Learning, Deep Learning, Git")</f>
        <v>Python, SQL, Tableau, Machine Learning, Deep Learning, Git</v>
      </c>
      <c r="K494" s="7" t="str">
        <f>IFERROR(__xludf.DUMMYFUNCTION("""COMPUTED_VALUE"""),"No job type data")</f>
        <v>No job type data</v>
      </c>
      <c r="L494" s="7" t="str">
        <f>IFERROR(__xludf.DUMMYFUNCTION("""COMPUTED_VALUE"""),"4,0")</f>
        <v>4,0</v>
      </c>
      <c r="M494" s="7"/>
      <c r="N494" s="7"/>
      <c r="O494" s="7"/>
    </row>
    <row r="495">
      <c r="A495" s="29">
        <f>IFERROR(__xludf.DUMMYFUNCTION("""COMPUTED_VALUE"""),491.0)</f>
        <v>491</v>
      </c>
      <c r="B495" s="7" t="str">
        <f>IFERROR(__xludf.DUMMYFUNCTION("""COMPUTED_VALUE"""),"Vor mehr als 30 Tagen")</f>
        <v>Vor mehr als 30 Tagen</v>
      </c>
      <c r="C495" s="7" t="str">
        <f>IFERROR(__xludf.DUMMYFUNCTION("""COMPUTED_VALUE"""),"Data Scientist 100%")</f>
        <v>Data Scientist 100%</v>
      </c>
      <c r="D495" s="7" t="str">
        <f>IFERROR(__xludf.DUMMYFUNCTION("""COMPUTED_VALUE"""),"Königstein im Taunus")</f>
        <v>Königstein im Taunus</v>
      </c>
      <c r="E495" s="7" t="str">
        <f>IFERROR(__xludf.DUMMYFUNCTION("""COMPUTED_VALUE"""),"PolarAnalytics")</f>
        <v>PolarAnalytics</v>
      </c>
      <c r="F495" s="7" t="str">
        <f>IFERROR(__xludf.DUMMYFUNCTION("""COMPUTED_VALUE"""),"None")</f>
        <v>None</v>
      </c>
      <c r="G495" s="7" t="str">
        <f>IFERROR(__xludf.DUMMYFUNCTION("""COMPUTED_VALUE"""),"No salary data")</f>
        <v>No salary data</v>
      </c>
      <c r="H495" s="7" t="str">
        <f>IFERROR(__xludf.DUMMYFUNCTION("""COMPUTED_VALUE"""),"No salary data")</f>
        <v>No salary data</v>
      </c>
      <c r="I495" s="7" t="str">
        <f>IFERROR(__xludf.DUMMYFUNCTION("""COMPUTED_VALUE"""),"No salary data")</f>
        <v>No salary data</v>
      </c>
      <c r="J495" s="7" t="str">
        <f>IFERROR(__xludf.DUMMYFUNCTION("""COMPUTED_VALUE"""),"Python, SQL, Machine Learning, Git")</f>
        <v>Python, SQL, Machine Learning, Git</v>
      </c>
      <c r="K495" s="7" t="str">
        <f>IFERROR(__xludf.DUMMYFUNCTION("""COMPUTED_VALUE"""),"No job type data")</f>
        <v>No job type data</v>
      </c>
      <c r="L495" s="7" t="str">
        <f>IFERROR(__xludf.DUMMYFUNCTION("""COMPUTED_VALUE"""),"None")</f>
        <v>None</v>
      </c>
      <c r="M495" s="7"/>
      <c r="N495" s="7"/>
      <c r="O495" s="7"/>
    </row>
    <row r="496">
      <c r="A496" s="29">
        <f>IFERROR(__xludf.DUMMYFUNCTION("""COMPUTED_VALUE"""),492.0)</f>
        <v>492</v>
      </c>
      <c r="B496" s="7" t="str">
        <f>IFERROR(__xludf.DUMMYFUNCTION("""COMPUTED_VALUE"""),"vor 25 Tagen")</f>
        <v>vor 25 Tagen</v>
      </c>
      <c r="C496" s="7" t="str">
        <f>IFERROR(__xludf.DUMMYFUNCTION("""COMPUTED_VALUE"""),"BI &amp; Data Analytics Solution Architect (m/f/d)")</f>
        <v>BI &amp; Data Analytics Solution Architect (m/f/d)</v>
      </c>
      <c r="D496" s="7" t="str">
        <f>IFERROR(__xludf.DUMMYFUNCTION("""COMPUTED_VALUE"""),"München")</f>
        <v>München</v>
      </c>
      <c r="E496" s="7" t="str">
        <f>IFERROR(__xludf.DUMMYFUNCTION("""COMPUTED_VALUE"""),"Giesecke+Devrient Mobile Security GmbH")</f>
        <v>Giesecke+Devrient Mobile Security GmbH</v>
      </c>
      <c r="F496" s="7" t="str">
        <f>IFERROR(__xludf.DUMMYFUNCTION("""COMPUTED_VALUE"""),"None")</f>
        <v>None</v>
      </c>
      <c r="G496" s="7" t="str">
        <f>IFERROR(__xludf.DUMMYFUNCTION("""COMPUTED_VALUE"""),"No salary data")</f>
        <v>No salary data</v>
      </c>
      <c r="H496" s="7" t="str">
        <f>IFERROR(__xludf.DUMMYFUNCTION("""COMPUTED_VALUE"""),"No salary data")</f>
        <v>No salary data</v>
      </c>
      <c r="I496" s="7" t="str">
        <f>IFERROR(__xludf.DUMMYFUNCTION("""COMPUTED_VALUE"""),"No salary data")</f>
        <v>No salary data</v>
      </c>
      <c r="J496" s="7" t="str">
        <f>IFERROR(__xludf.DUMMYFUNCTION("""COMPUTED_VALUE"""),"Tableau, Git")</f>
        <v>Tableau, Git</v>
      </c>
      <c r="K496" s="7" t="str">
        <f>IFERROR(__xludf.DUMMYFUNCTION("""COMPUTED_VALUE"""),"No job type data")</f>
        <v>No job type data</v>
      </c>
      <c r="L496" s="7" t="str">
        <f>IFERROR(__xludf.DUMMYFUNCTION("""COMPUTED_VALUE"""),"None")</f>
        <v>None</v>
      </c>
      <c r="M496" s="7"/>
      <c r="N496" s="7"/>
      <c r="O496" s="7"/>
    </row>
    <row r="497">
      <c r="A497" s="29">
        <f>IFERROR(__xludf.DUMMYFUNCTION("""COMPUTED_VALUE"""),493.0)</f>
        <v>493</v>
      </c>
      <c r="B497" s="7" t="str">
        <f>IFERROR(__xludf.DUMMYFUNCTION("""COMPUTED_VALUE"""),"Vor mehr als 30 Tagen")</f>
        <v>Vor mehr als 30 Tagen</v>
      </c>
      <c r="C497" s="7" t="str">
        <f>IFERROR(__xludf.DUMMYFUNCTION("""COMPUTED_VALUE"""),"Acceptance Officer - Data Warehouse (f/m/d)")</f>
        <v>Acceptance Officer - Data Warehouse (f/m/d)</v>
      </c>
      <c r="D497" s="7" t="str">
        <f>IFERROR(__xludf.DUMMYFUNCTION("""COMPUTED_VALUE"""),"Frankfurt am Main")</f>
        <v>Frankfurt am Main</v>
      </c>
      <c r="E497" s="7" t="str">
        <f>IFERROR(__xludf.DUMMYFUNCTION("""COMPUTED_VALUE"""),"Deutsche Börse")</f>
        <v>Deutsche Börse</v>
      </c>
      <c r="F497" s="7" t="str">
        <f>IFERROR(__xludf.DUMMYFUNCTION("""COMPUTED_VALUE"""),"None")</f>
        <v>None</v>
      </c>
      <c r="G497" s="7" t="str">
        <f>IFERROR(__xludf.DUMMYFUNCTION("""COMPUTED_VALUE"""),"No salary data")</f>
        <v>No salary data</v>
      </c>
      <c r="H497" s="7" t="str">
        <f>IFERROR(__xludf.DUMMYFUNCTION("""COMPUTED_VALUE"""),"No salary data")</f>
        <v>No salary data</v>
      </c>
      <c r="I497" s="7" t="str">
        <f>IFERROR(__xludf.DUMMYFUNCTION("""COMPUTED_VALUE"""),"No salary data")</f>
        <v>No salary data</v>
      </c>
      <c r="J497" s="7" t="str">
        <f>IFERROR(__xludf.DUMMYFUNCTION("""COMPUTED_VALUE"""),"Python, SQL, Statistic, Agile")</f>
        <v>Python, SQL, Statistic, Agile</v>
      </c>
      <c r="K497" s="7" t="str">
        <f>IFERROR(__xludf.DUMMYFUNCTION("""COMPUTED_VALUE"""),"No job type data")</f>
        <v>No job type data</v>
      </c>
      <c r="L497" s="7" t="str">
        <f>IFERROR(__xludf.DUMMYFUNCTION("""COMPUTED_VALUE"""),"4,9")</f>
        <v>4,9</v>
      </c>
      <c r="M497" s="7"/>
      <c r="N497" s="7"/>
      <c r="O497" s="7"/>
    </row>
    <row r="498">
      <c r="A498" s="29">
        <f>IFERROR(__xludf.DUMMYFUNCTION("""COMPUTED_VALUE"""),494.0)</f>
        <v>494</v>
      </c>
      <c r="B498" s="7" t="str">
        <f>IFERROR(__xludf.DUMMYFUNCTION("""COMPUTED_VALUE"""),"Vor mehr als 30 Tagen")</f>
        <v>Vor mehr als 30 Tagen</v>
      </c>
      <c r="C498" s="7" t="str">
        <f>IFERROR(__xludf.DUMMYFUNCTION("""COMPUTED_VALUE"""),"Big Data Architect (m/f/d)")</f>
        <v>Big Data Architect (m/f/d)</v>
      </c>
      <c r="D498" s="7" t="str">
        <f>IFERROR(__xludf.DUMMYFUNCTION("""COMPUTED_VALUE"""),"Frankfurt am Main")</f>
        <v>Frankfurt am Main</v>
      </c>
      <c r="E498" s="7" t="str">
        <f>IFERROR(__xludf.DUMMYFUNCTION("""COMPUTED_VALUE"""),"EPAM Systems")</f>
        <v>EPAM Systems</v>
      </c>
      <c r="F498" s="7" t="str">
        <f>IFERROR(__xludf.DUMMYFUNCTION("""COMPUTED_VALUE"""),"None")</f>
        <v>None</v>
      </c>
      <c r="G498" s="7" t="str">
        <f>IFERROR(__xludf.DUMMYFUNCTION("""COMPUTED_VALUE"""),"No salary data")</f>
        <v>No salary data</v>
      </c>
      <c r="H498" s="7" t="str">
        <f>IFERROR(__xludf.DUMMYFUNCTION("""COMPUTED_VALUE"""),"No salary data")</f>
        <v>No salary data</v>
      </c>
      <c r="I498" s="7" t="str">
        <f>IFERROR(__xludf.DUMMYFUNCTION("""COMPUTED_VALUE"""),"No salary data")</f>
        <v>No salary data</v>
      </c>
      <c r="J498" s="7" t="str">
        <f>IFERROR(__xludf.DUMMYFUNCTION("""COMPUTED_VALUE"""),"Python, SQL, Tableau, Linux, Agile, Scrum")</f>
        <v>Python, SQL, Tableau, Linux, Agile, Scrum</v>
      </c>
      <c r="K498" s="7" t="str">
        <f>IFERROR(__xludf.DUMMYFUNCTION("""COMPUTED_VALUE"""),"No job type data")</f>
        <v>No job type data</v>
      </c>
      <c r="L498" s="7" t="str">
        <f>IFERROR(__xludf.DUMMYFUNCTION("""COMPUTED_VALUE"""),"None")</f>
        <v>None</v>
      </c>
      <c r="M498" s="7"/>
      <c r="N498" s="7"/>
      <c r="O498" s="7"/>
    </row>
    <row r="499">
      <c r="A499" s="29">
        <f>IFERROR(__xludf.DUMMYFUNCTION("""COMPUTED_VALUE"""),495.0)</f>
        <v>495</v>
      </c>
      <c r="B499" s="7" t="str">
        <f>IFERROR(__xludf.DUMMYFUNCTION("""COMPUTED_VALUE"""),"Vor mehr als 30 Tagen")</f>
        <v>Vor mehr als 30 Tagen</v>
      </c>
      <c r="C499" s="7" t="str">
        <f>IFERROR(__xludf.DUMMYFUNCTION("""COMPUTED_VALUE"""),"Database Engineer (m/f/d)")</f>
        <v>Database Engineer (m/f/d)</v>
      </c>
      <c r="D499" s="7" t="str">
        <f>IFERROR(__xludf.DUMMYFUNCTION("""COMPUTED_VALUE"""),"Rostock")</f>
        <v>Rostock</v>
      </c>
      <c r="E499" s="7" t="str">
        <f>IFERROR(__xludf.DUMMYFUNCTION("""COMPUTED_VALUE"""),"CENTOGENE GMBH")</f>
        <v>CENTOGENE GMBH</v>
      </c>
      <c r="F499" s="7" t="str">
        <f>IFERROR(__xludf.DUMMYFUNCTION("""COMPUTED_VALUE"""),"None")</f>
        <v>None</v>
      </c>
      <c r="G499" s="7" t="str">
        <f>IFERROR(__xludf.DUMMYFUNCTION("""COMPUTED_VALUE"""),"No salary data")</f>
        <v>No salary data</v>
      </c>
      <c r="H499" s="7" t="str">
        <f>IFERROR(__xludf.DUMMYFUNCTION("""COMPUTED_VALUE"""),"No salary data")</f>
        <v>No salary data</v>
      </c>
      <c r="I499" s="7" t="str">
        <f>IFERROR(__xludf.DUMMYFUNCTION("""COMPUTED_VALUE"""),"No salary data")</f>
        <v>No salary data</v>
      </c>
      <c r="J499" s="7" t="str">
        <f>IFERROR(__xludf.DUMMYFUNCTION("""COMPUTED_VALUE"""),"Python, SQL")</f>
        <v>Python, SQL</v>
      </c>
      <c r="K499" s="7" t="str">
        <f>IFERROR(__xludf.DUMMYFUNCTION("""COMPUTED_VALUE"""),"No job type data")</f>
        <v>No job type data</v>
      </c>
      <c r="L499" s="7" t="str">
        <f>IFERROR(__xludf.DUMMYFUNCTION("""COMPUTED_VALUE"""),"None")</f>
        <v>None</v>
      </c>
      <c r="M499" s="7"/>
      <c r="N499" s="7"/>
      <c r="O499" s="7"/>
    </row>
    <row r="500">
      <c r="A500" s="29">
        <f>IFERROR(__xludf.DUMMYFUNCTION("""COMPUTED_VALUE"""),496.0)</f>
        <v>496</v>
      </c>
      <c r="B500" s="7" t="str">
        <f>IFERROR(__xludf.DUMMYFUNCTION("""COMPUTED_VALUE"""),"vor 20 Tagen")</f>
        <v>vor 20 Tagen</v>
      </c>
      <c r="C500" s="7" t="str">
        <f>IFERROR(__xludf.DUMMYFUNCTION("""COMPUTED_VALUE"""),"Data Scientist")</f>
        <v>Data Scientist</v>
      </c>
      <c r="D500" s="7" t="str">
        <f>IFERROR(__xludf.DUMMYFUNCTION("""COMPUTED_VALUE"""),"Berlin-Kreuzberg")</f>
        <v>Berlin-Kreuzberg</v>
      </c>
      <c r="E500" s="7" t="str">
        <f>IFERROR(__xludf.DUMMYFUNCTION("""COMPUTED_VALUE"""),"bonify")</f>
        <v>bonify</v>
      </c>
      <c r="F500" s="7" t="str">
        <f>IFERROR(__xludf.DUMMYFUNCTION("""COMPUTED_VALUE"""),"None")</f>
        <v>None</v>
      </c>
      <c r="G500" s="7" t="str">
        <f>IFERROR(__xludf.DUMMYFUNCTION("""COMPUTED_VALUE"""),"No salary data")</f>
        <v>No salary data</v>
      </c>
      <c r="H500" s="7" t="str">
        <f>IFERROR(__xludf.DUMMYFUNCTION("""COMPUTED_VALUE"""),"No salary data")</f>
        <v>No salary data</v>
      </c>
      <c r="I500" s="7" t="str">
        <f>IFERROR(__xludf.DUMMYFUNCTION("""COMPUTED_VALUE"""),"No salary data")</f>
        <v>No salary data</v>
      </c>
      <c r="J500" s="7" t="str">
        <f>IFERROR(__xludf.DUMMYFUNCTION("""COMPUTED_VALUE"""),"Python, SQL, Machine Learning, Statistic, Git, Agile")</f>
        <v>Python, SQL, Machine Learning, Statistic, Git, Agile</v>
      </c>
      <c r="K500" s="7" t="str">
        <f>IFERROR(__xludf.DUMMYFUNCTION("""COMPUTED_VALUE"""),"No job type data")</f>
        <v>No job type data</v>
      </c>
      <c r="L500" s="7" t="str">
        <f>IFERROR(__xludf.DUMMYFUNCTION("""COMPUTED_VALUE"""),"None")</f>
        <v>None</v>
      </c>
      <c r="M500" s="7"/>
      <c r="N500" s="7"/>
      <c r="O500" s="7"/>
    </row>
    <row r="501">
      <c r="A501" s="29">
        <f>IFERROR(__xludf.DUMMYFUNCTION("""COMPUTED_VALUE"""),497.0)</f>
        <v>497</v>
      </c>
      <c r="B501" s="7" t="str">
        <f>IFERROR(__xludf.DUMMYFUNCTION("""COMPUTED_VALUE"""),"Vor mehr als 30 Tagen")</f>
        <v>Vor mehr als 30 Tagen</v>
      </c>
      <c r="C501" s="7" t="str">
        <f>IFERROR(__xludf.DUMMYFUNCTION("""COMPUTED_VALUE"""),"Junior Consultant Business Intelligence")</f>
        <v>Junior Consultant Business Intelligence</v>
      </c>
      <c r="D501" s="7" t="str">
        <f>IFERROR(__xludf.DUMMYFUNCTION("""COMPUTED_VALUE"""),"Düsseldorf")</f>
        <v>Düsseldorf</v>
      </c>
      <c r="E501" s="7" t="str">
        <f>IFERROR(__xludf.DUMMYFUNCTION("""COMPUTED_VALUE"""),"ORAYLIS GmbH Business Intelligence")</f>
        <v>ORAYLIS GmbH Business Intelligence</v>
      </c>
      <c r="F501" s="7" t="str">
        <f>IFERROR(__xludf.DUMMYFUNCTION("""COMPUTED_VALUE"""),"None")</f>
        <v>None</v>
      </c>
      <c r="G501" s="7" t="str">
        <f>IFERROR(__xludf.DUMMYFUNCTION("""COMPUTED_VALUE"""),"No salary data")</f>
        <v>No salary data</v>
      </c>
      <c r="H501" s="7" t="str">
        <f>IFERROR(__xludf.DUMMYFUNCTION("""COMPUTED_VALUE"""),"No salary data")</f>
        <v>No salary data</v>
      </c>
      <c r="I501" s="7" t="str">
        <f>IFERROR(__xludf.DUMMYFUNCTION("""COMPUTED_VALUE"""),"No salary data")</f>
        <v>No salary data</v>
      </c>
      <c r="J501" s="7" t="str">
        <f>IFERROR(__xludf.DUMMYFUNCTION("""COMPUTED_VALUE"""),"Machine Learning")</f>
        <v>Machine Learning</v>
      </c>
      <c r="K501" s="7" t="str">
        <f>IFERROR(__xludf.DUMMYFUNCTION("""COMPUTED_VALUE"""),"No job type data")</f>
        <v>No job type data</v>
      </c>
      <c r="L501" s="7" t="str">
        <f>IFERROR(__xludf.DUMMYFUNCTION("""COMPUTED_VALUE"""),"None")</f>
        <v>None</v>
      </c>
      <c r="M501" s="7"/>
      <c r="N501" s="7"/>
      <c r="O501" s="7"/>
    </row>
    <row r="502">
      <c r="A502" s="29">
        <f>IFERROR(__xludf.DUMMYFUNCTION("""COMPUTED_VALUE"""),498.0)</f>
        <v>498</v>
      </c>
      <c r="B502" s="7" t="str">
        <f>IFERROR(__xludf.DUMMYFUNCTION("""COMPUTED_VALUE"""),"vor 17 Tagen")</f>
        <v>vor 17 Tagen</v>
      </c>
      <c r="C502" s="7" t="str">
        <f>IFERROR(__xludf.DUMMYFUNCTION("""COMPUTED_VALUE"""),"Data Scientist (M/W/D) Standort Ihringen")</f>
        <v>Data Scientist (M/W/D) Standort Ihringen</v>
      </c>
      <c r="D502" s="7" t="str">
        <f>IFERROR(__xludf.DUMMYFUNCTION("""COMPUTED_VALUE"""),"Ihringen")</f>
        <v>Ihringen</v>
      </c>
      <c r="E502" s="7" t="str">
        <f>IFERROR(__xludf.DUMMYFUNCTION("""COMPUTED_VALUE"""),"Hella Gutmann Solutions GmbH")</f>
        <v>Hella Gutmann Solutions GmbH</v>
      </c>
      <c r="F502" s="7" t="str">
        <f>IFERROR(__xludf.DUMMYFUNCTION("""COMPUTED_VALUE"""),"None")</f>
        <v>None</v>
      </c>
      <c r="G502" s="7" t="str">
        <f>IFERROR(__xludf.DUMMYFUNCTION("""COMPUTED_VALUE"""),"No salary data")</f>
        <v>No salary data</v>
      </c>
      <c r="H502" s="7" t="str">
        <f>IFERROR(__xludf.DUMMYFUNCTION("""COMPUTED_VALUE"""),"No salary data")</f>
        <v>No salary data</v>
      </c>
      <c r="I502" s="7" t="str">
        <f>IFERROR(__xludf.DUMMYFUNCTION("""COMPUTED_VALUE"""),"No salary data")</f>
        <v>No salary data</v>
      </c>
      <c r="J502" s="7" t="str">
        <f>IFERROR(__xludf.DUMMYFUNCTION("""COMPUTED_VALUE"""),"Python, Machine Learning")</f>
        <v>Python, Machine Learning</v>
      </c>
      <c r="K502" s="7" t="str">
        <f>IFERROR(__xludf.DUMMYFUNCTION("""COMPUTED_VALUE"""),"No job type data")</f>
        <v>No job type data</v>
      </c>
      <c r="L502" s="7" t="str">
        <f>IFERROR(__xludf.DUMMYFUNCTION("""COMPUTED_VALUE"""),"3,8")</f>
        <v>3,8</v>
      </c>
      <c r="M502" s="7"/>
      <c r="N502" s="7"/>
      <c r="O502" s="7"/>
    </row>
    <row r="503">
      <c r="A503" s="29">
        <f>IFERROR(__xludf.DUMMYFUNCTION("""COMPUTED_VALUE"""),499.0)</f>
        <v>499</v>
      </c>
      <c r="B503" s="7" t="str">
        <f>IFERROR(__xludf.DUMMYFUNCTION("""COMPUTED_VALUE"""),"Vor mehr als 30 Tagen")</f>
        <v>Vor mehr als 30 Tagen</v>
      </c>
      <c r="C503" s="7" t="str">
        <f>IFERROR(__xludf.DUMMYFUNCTION("""COMPUTED_VALUE"""),"Data Scientist (w/m/d)")</f>
        <v>Data Scientist (w/m/d)</v>
      </c>
      <c r="D503" s="7" t="str">
        <f>IFERROR(__xludf.DUMMYFUNCTION("""COMPUTED_VALUE"""),"Hannover")</f>
        <v>Hannover</v>
      </c>
      <c r="E503" s="7" t="str">
        <f>IFERROR(__xludf.DUMMYFUNCTION("""COMPUTED_VALUE"""),"VHV")</f>
        <v>VHV</v>
      </c>
      <c r="F503" s="7" t="str">
        <f>IFERROR(__xludf.DUMMYFUNCTION("""COMPUTED_VALUE"""),"None")</f>
        <v>None</v>
      </c>
      <c r="G503" s="7" t="str">
        <f>IFERROR(__xludf.DUMMYFUNCTION("""COMPUTED_VALUE"""),"No salary data")</f>
        <v>No salary data</v>
      </c>
      <c r="H503" s="7" t="str">
        <f>IFERROR(__xludf.DUMMYFUNCTION("""COMPUTED_VALUE"""),"No salary data")</f>
        <v>No salary data</v>
      </c>
      <c r="I503" s="7" t="str">
        <f>IFERROR(__xludf.DUMMYFUNCTION("""COMPUTED_VALUE"""),"No salary data")</f>
        <v>No salary data</v>
      </c>
      <c r="J503" s="7" t="str">
        <f>IFERROR(__xludf.DUMMYFUNCTION("""COMPUTED_VALUE"""),"Python, SQL, Machine Learning")</f>
        <v>Python, SQL, Machine Learning</v>
      </c>
      <c r="K503" s="7" t="str">
        <f>IFERROR(__xludf.DUMMYFUNCTION("""COMPUTED_VALUE"""),"No job type data")</f>
        <v>No job type data</v>
      </c>
      <c r="L503" s="7" t="str">
        <f>IFERROR(__xludf.DUMMYFUNCTION("""COMPUTED_VALUE"""),"None")</f>
        <v>None</v>
      </c>
      <c r="M503" s="7"/>
      <c r="N503" s="7"/>
      <c r="O503" s="7"/>
    </row>
    <row r="504">
      <c r="A504" s="29">
        <f>IFERROR(__xludf.DUMMYFUNCTION("""COMPUTED_VALUE"""),500.0)</f>
        <v>500</v>
      </c>
      <c r="B504" s="7" t="str">
        <f>IFERROR(__xludf.DUMMYFUNCTION("""COMPUTED_VALUE"""),"Vor mehr als 30 Tagen")</f>
        <v>Vor mehr als 30 Tagen</v>
      </c>
      <c r="C504" s="7" t="str">
        <f>IFERROR(__xludf.DUMMYFUNCTION("""COMPUTED_VALUE"""),"Data Analyst für digitale Prüfungsprozesse (w/m/d)")</f>
        <v>Data Analyst für digitale Prüfungsprozesse (w/m/d)</v>
      </c>
      <c r="D504" s="7" t="str">
        <f>IFERROR(__xludf.DUMMYFUNCTION("""COMPUTED_VALUE"""),"Deutschland")</f>
        <v>Deutschland</v>
      </c>
      <c r="E504" s="7" t="str">
        <f>IFERROR(__xludf.DUMMYFUNCTION("""COMPUTED_VALUE"""),"PwC")</f>
        <v>PwC</v>
      </c>
      <c r="F504" s="7" t="str">
        <f>IFERROR(__xludf.DUMMYFUNCTION("""COMPUTED_VALUE"""),"None")</f>
        <v>None</v>
      </c>
      <c r="G504" s="7" t="str">
        <f>IFERROR(__xludf.DUMMYFUNCTION("""COMPUTED_VALUE"""),"No salary data")</f>
        <v>No salary data</v>
      </c>
      <c r="H504" s="7" t="str">
        <f>IFERROR(__xludf.DUMMYFUNCTION("""COMPUTED_VALUE"""),"No salary data")</f>
        <v>No salary data</v>
      </c>
      <c r="I504" s="7" t="str">
        <f>IFERROR(__xludf.DUMMYFUNCTION("""COMPUTED_VALUE"""),"No salary data")</f>
        <v>No salary data</v>
      </c>
      <c r="J504" s="7" t="str">
        <f>IFERROR(__xludf.DUMMYFUNCTION("""COMPUTED_VALUE"""),"Tableau, Git, Agile")</f>
        <v>Tableau, Git, Agile</v>
      </c>
      <c r="K504" s="7" t="str">
        <f>IFERROR(__xludf.DUMMYFUNCTION("""COMPUTED_VALUE"""),"No job type data")</f>
        <v>No job type data</v>
      </c>
      <c r="L504" s="7" t="str">
        <f>IFERROR(__xludf.DUMMYFUNCTION("""COMPUTED_VALUE"""),"4,0")</f>
        <v>4,0</v>
      </c>
      <c r="M504" s="7"/>
      <c r="N504" s="7"/>
      <c r="O504" s="7"/>
    </row>
    <row r="505">
      <c r="A505" s="29">
        <f>IFERROR(__xludf.DUMMYFUNCTION("""COMPUTED_VALUE"""),501.0)</f>
        <v>501</v>
      </c>
      <c r="B505" s="7" t="str">
        <f>IFERROR(__xludf.DUMMYFUNCTION("""COMPUTED_VALUE"""),"Vor mehr als 30 Tagen")</f>
        <v>Vor mehr als 30 Tagen</v>
      </c>
      <c r="C505" s="7" t="str">
        <f>IFERROR(__xludf.DUMMYFUNCTION("""COMPUTED_VALUE"""),"Werkstudenten (m/w/d) Data Analytics")</f>
        <v>Werkstudenten (m/w/d) Data Analytics</v>
      </c>
      <c r="D505" s="7" t="str">
        <f>IFERROR(__xludf.DUMMYFUNCTION("""COMPUTED_VALUE"""),"Osterholz-Scharmbeck")</f>
        <v>Osterholz-Scharmbeck</v>
      </c>
      <c r="E505" s="7" t="str">
        <f>IFERROR(__xludf.DUMMYFUNCTION("""COMPUTED_VALUE"""),"FAUN Umwelttechnik")</f>
        <v>FAUN Umwelttechnik</v>
      </c>
      <c r="F505" s="7" t="str">
        <f>IFERROR(__xludf.DUMMYFUNCTION("""COMPUTED_VALUE"""),"None")</f>
        <v>None</v>
      </c>
      <c r="G505" s="7" t="str">
        <f>IFERROR(__xludf.DUMMYFUNCTION("""COMPUTED_VALUE"""),"No salary data")</f>
        <v>No salary data</v>
      </c>
      <c r="H505" s="7" t="str">
        <f>IFERROR(__xludf.DUMMYFUNCTION("""COMPUTED_VALUE"""),"No salary data")</f>
        <v>No salary data</v>
      </c>
      <c r="I505" s="7" t="str">
        <f>IFERROR(__xludf.DUMMYFUNCTION("""COMPUTED_VALUE"""),"No salary data")</f>
        <v>No salary data</v>
      </c>
      <c r="J505" s="7" t="str">
        <f>IFERROR(__xludf.DUMMYFUNCTION("""COMPUTED_VALUE"""),"Excel")</f>
        <v>Excel</v>
      </c>
      <c r="K505" s="7" t="str">
        <f>IFERROR(__xludf.DUMMYFUNCTION("""COMPUTED_VALUE"""),"No job type data")</f>
        <v>No job type data</v>
      </c>
      <c r="L505" s="7" t="str">
        <f>IFERROR(__xludf.DUMMYFUNCTION("""COMPUTED_VALUE"""),"None")</f>
        <v>None</v>
      </c>
      <c r="M505" s="7"/>
      <c r="N505" s="7"/>
      <c r="O505" s="7"/>
    </row>
    <row r="506">
      <c r="A506" s="29">
        <f>IFERROR(__xludf.DUMMYFUNCTION("""COMPUTED_VALUE"""),502.0)</f>
        <v>502</v>
      </c>
      <c r="B506" s="7" t="str">
        <f>IFERROR(__xludf.DUMMYFUNCTION("""COMPUTED_VALUE"""),"Vor mehr als 30 Tagen")</f>
        <v>Vor mehr als 30 Tagen</v>
      </c>
      <c r="C506" s="7" t="str">
        <f>IFERROR(__xludf.DUMMYFUNCTION("""COMPUTED_VALUE"""),"Senior Data Analyst (m/f/d)")</f>
        <v>Senior Data Analyst (m/f/d)</v>
      </c>
      <c r="D506" s="7" t="str">
        <f>IFERROR(__xludf.DUMMYFUNCTION("""COMPUTED_VALUE"""),"Hamburg")</f>
        <v>Hamburg</v>
      </c>
      <c r="E506" s="7" t="str">
        <f>IFERROR(__xludf.DUMMYFUNCTION("""COMPUTED_VALUE"""),"Jimdo")</f>
        <v>Jimdo</v>
      </c>
      <c r="F506" s="7" t="str">
        <f>IFERROR(__xludf.DUMMYFUNCTION("""COMPUTED_VALUE"""),"None")</f>
        <v>None</v>
      </c>
      <c r="G506" s="7" t="str">
        <f>IFERROR(__xludf.DUMMYFUNCTION("""COMPUTED_VALUE"""),"No salary data")</f>
        <v>No salary data</v>
      </c>
      <c r="H506" s="7" t="str">
        <f>IFERROR(__xludf.DUMMYFUNCTION("""COMPUTED_VALUE"""),"No salary data")</f>
        <v>No salary data</v>
      </c>
      <c r="I506" s="7" t="str">
        <f>IFERROR(__xludf.DUMMYFUNCTION("""COMPUTED_VALUE"""),"No salary data")</f>
        <v>No salary data</v>
      </c>
      <c r="J506" s="7" t="str">
        <f>IFERROR(__xludf.DUMMYFUNCTION("""COMPUTED_VALUE"""),"Python, SQL, Tableau, Statistic")</f>
        <v>Python, SQL, Tableau, Statistic</v>
      </c>
      <c r="K506" s="7" t="str">
        <f>IFERROR(__xludf.DUMMYFUNCTION("""COMPUTED_VALUE"""),"Permanent")</f>
        <v>Permanent</v>
      </c>
      <c r="L506" s="7" t="str">
        <f>IFERROR(__xludf.DUMMYFUNCTION("""COMPUTED_VALUE"""),"None")</f>
        <v>None</v>
      </c>
      <c r="M506" s="7"/>
      <c r="N506" s="7"/>
      <c r="O506" s="7"/>
    </row>
    <row r="507">
      <c r="A507" s="29">
        <f>IFERROR(__xludf.DUMMYFUNCTION("""COMPUTED_VALUE"""),503.0)</f>
        <v>503</v>
      </c>
      <c r="B507" s="7" t="str">
        <f>IFERROR(__xludf.DUMMYFUNCTION("""COMPUTED_VALUE"""),"Vor mehr als 30 Tagen")</f>
        <v>Vor mehr als 30 Tagen</v>
      </c>
      <c r="C507" s="7" t="str">
        <f>IFERROR(__xludf.DUMMYFUNCTION("""COMPUTED_VALUE"""),"Werkstudent Data Analyst (m/w/d)")</f>
        <v>Werkstudent Data Analyst (m/w/d)</v>
      </c>
      <c r="D507" s="7" t="str">
        <f>IFERROR(__xludf.DUMMYFUNCTION("""COMPUTED_VALUE"""),"Dresden")</f>
        <v>Dresden</v>
      </c>
      <c r="E507" s="7" t="str">
        <f>IFERROR(__xludf.DUMMYFUNCTION("""COMPUTED_VALUE"""),"LOVOO GmbH")</f>
        <v>LOVOO GmbH</v>
      </c>
      <c r="F507" s="7" t="str">
        <f>IFERROR(__xludf.DUMMYFUNCTION("""COMPUTED_VALUE"""),"None")</f>
        <v>None</v>
      </c>
      <c r="G507" s="7" t="str">
        <f>IFERROR(__xludf.DUMMYFUNCTION("""COMPUTED_VALUE"""),"No salary data")</f>
        <v>No salary data</v>
      </c>
      <c r="H507" s="7" t="str">
        <f>IFERROR(__xludf.DUMMYFUNCTION("""COMPUTED_VALUE"""),"No salary data")</f>
        <v>No salary data</v>
      </c>
      <c r="I507" s="7" t="str">
        <f>IFERROR(__xludf.DUMMYFUNCTION("""COMPUTED_VALUE"""),"No salary data")</f>
        <v>No salary data</v>
      </c>
      <c r="J507" s="7" t="str">
        <f>IFERROR(__xludf.DUMMYFUNCTION("""COMPUTED_VALUE"""),"Python, SQL, Tableau, Git, Agile")</f>
        <v>Python, SQL, Tableau, Git, Agile</v>
      </c>
      <c r="K507" s="7" t="str">
        <f>IFERROR(__xludf.DUMMYFUNCTION("""COMPUTED_VALUE"""),"No job type data")</f>
        <v>No job type data</v>
      </c>
      <c r="L507" s="7" t="str">
        <f>IFERROR(__xludf.DUMMYFUNCTION("""COMPUTED_VALUE"""),"None")</f>
        <v>None</v>
      </c>
      <c r="M507" s="7"/>
      <c r="N507" s="7"/>
      <c r="O507" s="7"/>
    </row>
    <row r="508">
      <c r="A508" s="29">
        <f>IFERROR(__xludf.DUMMYFUNCTION("""COMPUTED_VALUE"""),504.0)</f>
        <v>504</v>
      </c>
      <c r="B508" s="7" t="str">
        <f>IFERROR(__xludf.DUMMYFUNCTION("""COMPUTED_VALUE"""),"Vor mehr als 30 Tagen")</f>
        <v>Vor mehr als 30 Tagen</v>
      </c>
      <c r="C508" s="7" t="str">
        <f>IFERROR(__xludf.DUMMYFUNCTION("""COMPUTED_VALUE"""),"Intern Business Analytics (f/m/x)")</f>
        <v>Intern Business Analytics (f/m/x)</v>
      </c>
      <c r="D508" s="7" t="str">
        <f>IFERROR(__xludf.DUMMYFUNCTION("""COMPUTED_VALUE"""),"Berlin-Kreuzberg")</f>
        <v>Berlin-Kreuzberg</v>
      </c>
      <c r="E508" s="7" t="str">
        <f>IFERROR(__xludf.DUMMYFUNCTION("""COMPUTED_VALUE"""),"AUTO1")</f>
        <v>AUTO1</v>
      </c>
      <c r="F508" s="7" t="str">
        <f>IFERROR(__xludf.DUMMYFUNCTION("""COMPUTED_VALUE"""),"None")</f>
        <v>None</v>
      </c>
      <c r="G508" s="7" t="str">
        <f>IFERROR(__xludf.DUMMYFUNCTION("""COMPUTED_VALUE"""),"No salary data")</f>
        <v>No salary data</v>
      </c>
      <c r="H508" s="7" t="str">
        <f>IFERROR(__xludf.DUMMYFUNCTION("""COMPUTED_VALUE"""),"No salary data")</f>
        <v>No salary data</v>
      </c>
      <c r="I508" s="7" t="str">
        <f>IFERROR(__xludf.DUMMYFUNCTION("""COMPUTED_VALUE"""),"No salary data")</f>
        <v>No salary data</v>
      </c>
      <c r="J508" s="7" t="str">
        <f>IFERROR(__xludf.DUMMYFUNCTION("""COMPUTED_VALUE"""),"Python, Excel, Git")</f>
        <v>Python, Excel, Git</v>
      </c>
      <c r="K508" s="7" t="str">
        <f>IFERROR(__xludf.DUMMYFUNCTION("""COMPUTED_VALUE"""),"Internship")</f>
        <v>Internship</v>
      </c>
      <c r="L508" s="7" t="str">
        <f>IFERROR(__xludf.DUMMYFUNCTION("""COMPUTED_VALUE"""),"3,1")</f>
        <v>3,1</v>
      </c>
      <c r="M508" s="7"/>
      <c r="N508" s="7"/>
      <c r="O508" s="7"/>
    </row>
    <row r="509">
      <c r="A509" s="29">
        <f>IFERROR(__xludf.DUMMYFUNCTION("""COMPUTED_VALUE"""),505.0)</f>
        <v>505</v>
      </c>
      <c r="B509" s="7" t="str">
        <f>IFERROR(__xludf.DUMMYFUNCTION("""COMPUTED_VALUE"""),"vor 1 Tag")</f>
        <v>vor 1 Tag</v>
      </c>
      <c r="C509" s="7" t="str">
        <f>IFERROR(__xludf.DUMMYFUNCTION("""COMPUTED_VALUE"""),"eCommerce Data Engineer - Azure")</f>
        <v>eCommerce Data Engineer - Azure</v>
      </c>
      <c r="D509" s="7" t="str">
        <f>IFERROR(__xludf.DUMMYFUNCTION("""COMPUTED_VALUE"""),"Berlin")</f>
        <v>Berlin</v>
      </c>
      <c r="E509" s="7" t="str">
        <f>IFERROR(__xludf.DUMMYFUNCTION("""COMPUTED_VALUE"""),"IT Search")</f>
        <v>IT Search</v>
      </c>
      <c r="F509" s="7" t="str">
        <f>IFERROR(__xludf.DUMMYFUNCTION("""COMPUTED_VALUE"""),"None")</f>
        <v>None</v>
      </c>
      <c r="G509" s="7" t="str">
        <f>IFERROR(__xludf.DUMMYFUNCTION("""COMPUTED_VALUE"""),"No salary data")</f>
        <v>No salary data</v>
      </c>
      <c r="H509" s="7" t="str">
        <f>IFERROR(__xludf.DUMMYFUNCTION("""COMPUTED_VALUE"""),"No salary data")</f>
        <v>No salary data</v>
      </c>
      <c r="I509" s="7" t="str">
        <f>IFERROR(__xludf.DUMMYFUNCTION("""COMPUTED_VALUE"""),"No salary data")</f>
        <v>No salary data</v>
      </c>
      <c r="J509" s="7" t="str">
        <f>IFERROR(__xludf.DUMMYFUNCTION("""COMPUTED_VALUE"""),"Python, Machine Learning, Git")</f>
        <v>Python, Machine Learning, Git</v>
      </c>
      <c r="K509" s="7" t="str">
        <f>IFERROR(__xludf.DUMMYFUNCTION("""COMPUTED_VALUE"""),"Permanent")</f>
        <v>Permanent</v>
      </c>
      <c r="L509" s="7" t="str">
        <f>IFERROR(__xludf.DUMMYFUNCTION("""COMPUTED_VALUE"""),"None")</f>
        <v>None</v>
      </c>
      <c r="M509" s="7"/>
      <c r="N509" s="7"/>
      <c r="O509" s="7"/>
    </row>
    <row r="510">
      <c r="A510" s="29">
        <f>IFERROR(__xludf.DUMMYFUNCTION("""COMPUTED_VALUE"""),506.0)</f>
        <v>506</v>
      </c>
      <c r="B510" s="7" t="str">
        <f>IFERROR(__xludf.DUMMYFUNCTION("""COMPUTED_VALUE"""),"Vor mehr als 30 Tagen")</f>
        <v>Vor mehr als 30 Tagen</v>
      </c>
      <c r="C510" s="7" t="str">
        <f>IFERROR(__xludf.DUMMYFUNCTION("""COMPUTED_VALUE"""),"Data Scientist Artificial Intelligence (w/m/d)")</f>
        <v>Data Scientist Artificial Intelligence (w/m/d)</v>
      </c>
      <c r="D510" s="7" t="str">
        <f>IFERROR(__xludf.DUMMYFUNCTION("""COMPUTED_VALUE"""),"München")</f>
        <v>München</v>
      </c>
      <c r="E510" s="7" t="str">
        <f>IFERROR(__xludf.DUMMYFUNCTION("""COMPUTED_VALUE"""),"Fujitsu")</f>
        <v>Fujitsu</v>
      </c>
      <c r="F510" s="7" t="str">
        <f>IFERROR(__xludf.DUMMYFUNCTION("""COMPUTED_VALUE"""),"None")</f>
        <v>None</v>
      </c>
      <c r="G510" s="7" t="str">
        <f>IFERROR(__xludf.DUMMYFUNCTION("""COMPUTED_VALUE"""),"No salary data")</f>
        <v>No salary data</v>
      </c>
      <c r="H510" s="7" t="str">
        <f>IFERROR(__xludf.DUMMYFUNCTION("""COMPUTED_VALUE"""),"No salary data")</f>
        <v>No salary data</v>
      </c>
      <c r="I510" s="7" t="str">
        <f>IFERROR(__xludf.DUMMYFUNCTION("""COMPUTED_VALUE"""),"No salary data")</f>
        <v>No salary data</v>
      </c>
      <c r="J510" s="7" t="str">
        <f>IFERROR(__xludf.DUMMYFUNCTION("""COMPUTED_VALUE"""),"Python, Machine Learning, Git")</f>
        <v>Python, Machine Learning, Git</v>
      </c>
      <c r="K510" s="7" t="str">
        <f>IFERROR(__xludf.DUMMYFUNCTION("""COMPUTED_VALUE"""),"No job type data")</f>
        <v>No job type data</v>
      </c>
      <c r="L510" s="7" t="str">
        <f>IFERROR(__xludf.DUMMYFUNCTION("""COMPUTED_VALUE"""),"3,7")</f>
        <v>3,7</v>
      </c>
      <c r="M510" s="7"/>
      <c r="N510" s="7"/>
      <c r="O510" s="7"/>
    </row>
    <row r="511">
      <c r="A511" s="29">
        <f>IFERROR(__xludf.DUMMYFUNCTION("""COMPUTED_VALUE"""),507.0)</f>
        <v>507</v>
      </c>
      <c r="B511" s="7" t="str">
        <f>IFERROR(__xludf.DUMMYFUNCTION("""COMPUTED_VALUE"""),"vor 13 Tagen")</f>
        <v>vor 13 Tagen</v>
      </c>
      <c r="C511" s="7" t="str">
        <f>IFERROR(__xludf.DUMMYFUNCTION("""COMPUTED_VALUE"""),"Data Engineer - DevOps (f/m/d)")</f>
        <v>Data Engineer - DevOps (f/m/d)</v>
      </c>
      <c r="D511" s="7" t="str">
        <f>IFERROR(__xludf.DUMMYFUNCTION("""COMPUTED_VALUE"""),"Hamburg")</f>
        <v>Hamburg</v>
      </c>
      <c r="E511" s="7" t="str">
        <f>IFERROR(__xludf.DUMMYFUNCTION("""COMPUTED_VALUE"""),"Aquila Capital")</f>
        <v>Aquila Capital</v>
      </c>
      <c r="F511" s="7" t="str">
        <f>IFERROR(__xludf.DUMMYFUNCTION("""COMPUTED_VALUE"""),"None")</f>
        <v>None</v>
      </c>
      <c r="G511" s="7" t="str">
        <f>IFERROR(__xludf.DUMMYFUNCTION("""COMPUTED_VALUE"""),"No salary data")</f>
        <v>No salary data</v>
      </c>
      <c r="H511" s="7" t="str">
        <f>IFERROR(__xludf.DUMMYFUNCTION("""COMPUTED_VALUE"""),"No salary data")</f>
        <v>No salary data</v>
      </c>
      <c r="I511" s="7" t="str">
        <f>IFERROR(__xludf.DUMMYFUNCTION("""COMPUTED_VALUE"""),"No salary data")</f>
        <v>No salary data</v>
      </c>
      <c r="J511" s="7" t="str">
        <f>IFERROR(__xludf.DUMMYFUNCTION("""COMPUTED_VALUE"""),"Python, SQL, Agile")</f>
        <v>Python, SQL, Agile</v>
      </c>
      <c r="K511" s="7" t="str">
        <f>IFERROR(__xludf.DUMMYFUNCTION("""COMPUTED_VALUE"""),"No job type data")</f>
        <v>No job type data</v>
      </c>
      <c r="L511" s="7" t="str">
        <f>IFERROR(__xludf.DUMMYFUNCTION("""COMPUTED_VALUE"""),"3,0")</f>
        <v>3,0</v>
      </c>
      <c r="M511" s="7"/>
      <c r="N511" s="7"/>
      <c r="O511" s="7"/>
    </row>
    <row r="512">
      <c r="A512" s="29">
        <f>IFERROR(__xludf.DUMMYFUNCTION("""COMPUTED_VALUE"""),508.0)</f>
        <v>508</v>
      </c>
      <c r="B512" s="7" t="str">
        <f>IFERROR(__xludf.DUMMYFUNCTION("""COMPUTED_VALUE"""),"vor 12 Tagen")</f>
        <v>vor 12 Tagen</v>
      </c>
      <c r="C512" s="7" t="str">
        <f>IFERROR(__xludf.DUMMYFUNCTION("""COMPUTED_VALUE"""),"People Data Scientist (all genders)")</f>
        <v>People Data Scientist (all genders)</v>
      </c>
      <c r="D512" s="7" t="str">
        <f>IFERROR(__xludf.DUMMYFUNCTION("""COMPUTED_VALUE"""),"Darmstadt")</f>
        <v>Darmstadt</v>
      </c>
      <c r="E512" s="7" t="str">
        <f>IFERROR(__xludf.DUMMYFUNCTION("""COMPUTED_VALUE"""),"Merck KGaA")</f>
        <v>Merck KGaA</v>
      </c>
      <c r="F512" s="7" t="str">
        <f>IFERROR(__xludf.DUMMYFUNCTION("""COMPUTED_VALUE"""),"None")</f>
        <v>None</v>
      </c>
      <c r="G512" s="7" t="str">
        <f>IFERROR(__xludf.DUMMYFUNCTION("""COMPUTED_VALUE"""),"No salary data")</f>
        <v>No salary data</v>
      </c>
      <c r="H512" s="7" t="str">
        <f>IFERROR(__xludf.DUMMYFUNCTION("""COMPUTED_VALUE"""),"No salary data")</f>
        <v>No salary data</v>
      </c>
      <c r="I512" s="7" t="str">
        <f>IFERROR(__xludf.DUMMYFUNCTION("""COMPUTED_VALUE"""),"No salary data")</f>
        <v>No salary data</v>
      </c>
      <c r="J512" s="7" t="str">
        <f>IFERROR(__xludf.DUMMYFUNCTION("""COMPUTED_VALUE"""),"Python, Tableau, Excel, Machine Learning, Deep Learning, Git")</f>
        <v>Python, Tableau, Excel, Machine Learning, Deep Learning, Git</v>
      </c>
      <c r="K512" s="7" t="str">
        <f>IFERROR(__xludf.DUMMYFUNCTION("""COMPUTED_VALUE"""),"Full-Time")</f>
        <v>Full-Time</v>
      </c>
      <c r="L512" s="7" t="str">
        <f>IFERROR(__xludf.DUMMYFUNCTION("""COMPUTED_VALUE"""),"4,1")</f>
        <v>4,1</v>
      </c>
      <c r="M512" s="7"/>
      <c r="N512" s="7"/>
      <c r="O512" s="7"/>
    </row>
    <row r="513">
      <c r="A513" s="29">
        <f>IFERROR(__xludf.DUMMYFUNCTION("""COMPUTED_VALUE"""),509.0)</f>
        <v>509</v>
      </c>
      <c r="B513" s="7" t="str">
        <f>IFERROR(__xludf.DUMMYFUNCTION("""COMPUTED_VALUE"""),"vor 4 Tagen")</f>
        <v>vor 4 Tagen</v>
      </c>
      <c r="C513" s="7" t="str">
        <f>IFERROR(__xludf.DUMMYFUNCTION("""COMPUTED_VALUE"""),"Full Stack Developer/Data Engineer (m/f/x)")</f>
        <v>Full Stack Developer/Data Engineer (m/f/x)</v>
      </c>
      <c r="D513" s="7" t="str">
        <f>IFERROR(__xludf.DUMMYFUNCTION("""COMPUTED_VALUE"""),"Garching bei München")</f>
        <v>Garching bei München</v>
      </c>
      <c r="E513" s="7" t="str">
        <f>IFERROR(__xludf.DUMMYFUNCTION("""COMPUTED_VALUE"""),"Zeppelin Lab GmbH")</f>
        <v>Zeppelin Lab GmbH</v>
      </c>
      <c r="F513" s="7" t="str">
        <f>IFERROR(__xludf.DUMMYFUNCTION("""COMPUTED_VALUE"""),"None")</f>
        <v>None</v>
      </c>
      <c r="G513" s="7" t="str">
        <f>IFERROR(__xludf.DUMMYFUNCTION("""COMPUTED_VALUE"""),"No salary data")</f>
        <v>No salary data</v>
      </c>
      <c r="H513" s="7" t="str">
        <f>IFERROR(__xludf.DUMMYFUNCTION("""COMPUTED_VALUE"""),"No salary data")</f>
        <v>No salary data</v>
      </c>
      <c r="I513" s="7" t="str">
        <f>IFERROR(__xludf.DUMMYFUNCTION("""COMPUTED_VALUE"""),"No salary data")</f>
        <v>No salary data</v>
      </c>
      <c r="J513" s="7" t="str">
        <f>IFERROR(__xludf.DUMMYFUNCTION("""COMPUTED_VALUE"""),"Python, SQL, Git, Linux, Agile")</f>
        <v>Python, SQL, Git, Linux, Agile</v>
      </c>
      <c r="K513" s="7" t="str">
        <f>IFERROR(__xludf.DUMMYFUNCTION("""COMPUTED_VALUE"""),"No job type data")</f>
        <v>No job type data</v>
      </c>
      <c r="L513" s="7" t="str">
        <f>IFERROR(__xludf.DUMMYFUNCTION("""COMPUTED_VALUE"""),"4,4")</f>
        <v>4,4</v>
      </c>
      <c r="M513" s="7"/>
      <c r="N513" s="7"/>
      <c r="O513" s="7"/>
    </row>
    <row r="514">
      <c r="A514" s="29">
        <f>IFERROR(__xludf.DUMMYFUNCTION("""COMPUTED_VALUE"""),510.0)</f>
        <v>510</v>
      </c>
      <c r="B514" s="7" t="str">
        <f>IFERROR(__xludf.DUMMYFUNCTION("""COMPUTED_VALUE"""),"Vor mehr als 30 Tagen")</f>
        <v>Vor mehr als 30 Tagen</v>
      </c>
      <c r="C514" s="7" t="str">
        <f>IFERROR(__xludf.DUMMYFUNCTION("""COMPUTED_VALUE"""),"Praktikant (m/w/d) in der Strategie/Competitors &amp; Data Analy...")</f>
        <v>Praktikant (m/w/d) in der Strategie/Competitors &amp; Data Analy...</v>
      </c>
      <c r="D514" s="7" t="str">
        <f>IFERROR(__xludf.DUMMYFUNCTION("""COMPUTED_VALUE"""),"München")</f>
        <v>München</v>
      </c>
      <c r="E514" s="7" t="str">
        <f>IFERROR(__xludf.DUMMYFUNCTION("""COMPUTED_VALUE"""),"BSH Home Appliances Group")</f>
        <v>BSH Home Appliances Group</v>
      </c>
      <c r="F514" s="7" t="str">
        <f>IFERROR(__xludf.DUMMYFUNCTION("""COMPUTED_VALUE"""),"None")</f>
        <v>None</v>
      </c>
      <c r="G514" s="7" t="str">
        <f>IFERROR(__xludf.DUMMYFUNCTION("""COMPUTED_VALUE"""),"No salary data")</f>
        <v>No salary data</v>
      </c>
      <c r="H514" s="7" t="str">
        <f>IFERROR(__xludf.DUMMYFUNCTION("""COMPUTED_VALUE"""),"No salary data")</f>
        <v>No salary data</v>
      </c>
      <c r="I514" s="7" t="str">
        <f>IFERROR(__xludf.DUMMYFUNCTION("""COMPUTED_VALUE"""),"No salary data")</f>
        <v>No salary data</v>
      </c>
      <c r="J514" s="7" t="str">
        <f>IFERROR(__xludf.DUMMYFUNCTION("""COMPUTED_VALUE"""),"Python, SQL")</f>
        <v>Python, SQL</v>
      </c>
      <c r="K514" s="7" t="str">
        <f>IFERROR(__xludf.DUMMYFUNCTION("""COMPUTED_VALUE"""),"No job type data")</f>
        <v>No job type data</v>
      </c>
      <c r="L514" s="7" t="str">
        <f>IFERROR(__xludf.DUMMYFUNCTION("""COMPUTED_VALUE"""),"None")</f>
        <v>None</v>
      </c>
      <c r="M514" s="7"/>
      <c r="N514" s="7"/>
      <c r="O514" s="7"/>
    </row>
    <row r="515">
      <c r="A515" s="29">
        <f>IFERROR(__xludf.DUMMYFUNCTION("""COMPUTED_VALUE"""),511.0)</f>
        <v>511</v>
      </c>
      <c r="B515" s="7" t="str">
        <f>IFERROR(__xludf.DUMMYFUNCTION("""COMPUTED_VALUE"""),"Vor mehr als 30 Tagen")</f>
        <v>Vor mehr als 30 Tagen</v>
      </c>
      <c r="C515" s="7" t="str">
        <f>IFERROR(__xludf.DUMMYFUNCTION("""COMPUTED_VALUE"""),"Data Analyst - Top Secret w/ SCI Eligibility - Multiple Loca...")</f>
        <v>Data Analyst - Top Secret w/ SCI Eligibility - Multiple Loca...</v>
      </c>
      <c r="D515" s="7" t="str">
        <f>IFERROR(__xludf.DUMMYFUNCTION("""COMPUTED_VALUE"""),"Wiesbaden")</f>
        <v>Wiesbaden</v>
      </c>
      <c r="E515" s="7" t="str">
        <f>IFERROR(__xludf.DUMMYFUNCTION("""COMPUTED_VALUE"""),"Logistics Management Institute")</f>
        <v>Logistics Management Institute</v>
      </c>
      <c r="F515" s="7" t="str">
        <f>IFERROR(__xludf.DUMMYFUNCTION("""COMPUTED_VALUE"""),"None")</f>
        <v>None</v>
      </c>
      <c r="G515" s="7" t="str">
        <f>IFERROR(__xludf.DUMMYFUNCTION("""COMPUTED_VALUE"""),"No salary data")</f>
        <v>No salary data</v>
      </c>
      <c r="H515" s="7" t="str">
        <f>IFERROR(__xludf.DUMMYFUNCTION("""COMPUTED_VALUE"""),"No salary data")</f>
        <v>No salary data</v>
      </c>
      <c r="I515" s="7" t="str">
        <f>IFERROR(__xludf.DUMMYFUNCTION("""COMPUTED_VALUE"""),"No salary data")</f>
        <v>No salary data</v>
      </c>
      <c r="J515" s="7" t="str">
        <f>IFERROR(__xludf.DUMMYFUNCTION("""COMPUTED_VALUE"""),"Python, SQL, Excel, Machine Learning, Statistic, Agile, Scrum")</f>
        <v>Python, SQL, Excel, Machine Learning, Statistic, Agile, Scrum</v>
      </c>
      <c r="K515" s="7" t="str">
        <f>IFERROR(__xludf.DUMMYFUNCTION("""COMPUTED_VALUE"""),"No job type data")</f>
        <v>No job type data</v>
      </c>
      <c r="L515" s="7" t="str">
        <f>IFERROR(__xludf.DUMMYFUNCTION("""COMPUTED_VALUE"""),"None")</f>
        <v>None</v>
      </c>
      <c r="M515" s="7"/>
      <c r="N515" s="7"/>
      <c r="O515" s="7"/>
    </row>
    <row r="516">
      <c r="A516" s="29">
        <f>IFERROR(__xludf.DUMMYFUNCTION("""COMPUTED_VALUE"""),512.0)</f>
        <v>512</v>
      </c>
      <c r="B516" s="7" t="str">
        <f>IFERROR(__xludf.DUMMYFUNCTION("""COMPUTED_VALUE"""),"Vor mehr als 30 Tagen")</f>
        <v>Vor mehr als 30 Tagen</v>
      </c>
      <c r="C516" s="7" t="str">
        <f>IFERROR(__xludf.DUMMYFUNCTION("""COMPUTED_VALUE"""),"Werkstudent (m/w/d) Data Analytics")</f>
        <v>Werkstudent (m/w/d) Data Analytics</v>
      </c>
      <c r="D516" s="7" t="str">
        <f>IFERROR(__xludf.DUMMYFUNCTION("""COMPUTED_VALUE"""),"Osterholz-Scharmbeck")</f>
        <v>Osterholz-Scharmbeck</v>
      </c>
      <c r="E516" s="7" t="str">
        <f>IFERROR(__xludf.DUMMYFUNCTION("""COMPUTED_VALUE"""),"FAUN Umwelttechnik")</f>
        <v>FAUN Umwelttechnik</v>
      </c>
      <c r="F516" s="7" t="str">
        <f>IFERROR(__xludf.DUMMYFUNCTION("""COMPUTED_VALUE"""),"None")</f>
        <v>None</v>
      </c>
      <c r="G516" s="7" t="str">
        <f>IFERROR(__xludf.DUMMYFUNCTION("""COMPUTED_VALUE"""),"No salary data")</f>
        <v>No salary data</v>
      </c>
      <c r="H516" s="7" t="str">
        <f>IFERROR(__xludf.DUMMYFUNCTION("""COMPUTED_VALUE"""),"No salary data")</f>
        <v>No salary data</v>
      </c>
      <c r="I516" s="7" t="str">
        <f>IFERROR(__xludf.DUMMYFUNCTION("""COMPUTED_VALUE"""),"No salary data")</f>
        <v>No salary data</v>
      </c>
      <c r="J516" s="7" t="str">
        <f>IFERROR(__xludf.DUMMYFUNCTION("""COMPUTED_VALUE"""),"Excel")</f>
        <v>Excel</v>
      </c>
      <c r="K516" s="7" t="str">
        <f>IFERROR(__xludf.DUMMYFUNCTION("""COMPUTED_VALUE"""),"No job type data")</f>
        <v>No job type data</v>
      </c>
      <c r="L516" s="7" t="str">
        <f>IFERROR(__xludf.DUMMYFUNCTION("""COMPUTED_VALUE"""),"None")</f>
        <v>None</v>
      </c>
      <c r="M516" s="7"/>
      <c r="N516" s="7"/>
      <c r="O516" s="7"/>
    </row>
    <row r="517">
      <c r="A517" s="29">
        <f>IFERROR(__xludf.DUMMYFUNCTION("""COMPUTED_VALUE"""),513.0)</f>
        <v>513</v>
      </c>
      <c r="B517" s="7" t="str">
        <f>IFERROR(__xludf.DUMMYFUNCTION("""COMPUTED_VALUE"""),"Vor mehr als 30 Tagen")</f>
        <v>Vor mehr als 30 Tagen</v>
      </c>
      <c r="C517" s="7" t="str">
        <f>IFERROR(__xludf.DUMMYFUNCTION("""COMPUTED_VALUE"""),"Data Migration Consultant (DACH Region)")</f>
        <v>Data Migration Consultant (DACH Region)</v>
      </c>
      <c r="D517" s="7" t="str">
        <f>IFERROR(__xludf.DUMMYFUNCTION("""COMPUTED_VALUE"""),"Stuttgart")</f>
        <v>Stuttgart</v>
      </c>
      <c r="E517" s="7" t="str">
        <f>IFERROR(__xludf.DUMMYFUNCTION("""COMPUTED_VALUE"""),"SYNITI")</f>
        <v>SYNITI</v>
      </c>
      <c r="F517" s="7" t="str">
        <f>IFERROR(__xludf.DUMMYFUNCTION("""COMPUTED_VALUE"""),"None")</f>
        <v>None</v>
      </c>
      <c r="G517" s="7" t="str">
        <f>IFERROR(__xludf.DUMMYFUNCTION("""COMPUTED_VALUE"""),"No salary data")</f>
        <v>No salary data</v>
      </c>
      <c r="H517" s="7" t="str">
        <f>IFERROR(__xludf.DUMMYFUNCTION("""COMPUTED_VALUE"""),"No salary data")</f>
        <v>No salary data</v>
      </c>
      <c r="I517" s="7" t="str">
        <f>IFERROR(__xludf.DUMMYFUNCTION("""COMPUTED_VALUE"""),"No salary data")</f>
        <v>No salary data</v>
      </c>
      <c r="J517" s="7" t="str">
        <f>IFERROR(__xludf.DUMMYFUNCTION("""COMPUTED_VALUE"""),"SQL, Excel")</f>
        <v>SQL, Excel</v>
      </c>
      <c r="K517" s="7" t="str">
        <f>IFERROR(__xludf.DUMMYFUNCTION("""COMPUTED_VALUE"""),"No job type data")</f>
        <v>No job type data</v>
      </c>
      <c r="L517" s="7" t="str">
        <f>IFERROR(__xludf.DUMMYFUNCTION("""COMPUTED_VALUE"""),"None")</f>
        <v>None</v>
      </c>
      <c r="M517" s="7"/>
      <c r="N517" s="7"/>
      <c r="O517" s="7"/>
    </row>
    <row r="518">
      <c r="A518" s="29">
        <f>IFERROR(__xludf.DUMMYFUNCTION("""COMPUTED_VALUE"""),514.0)</f>
        <v>514</v>
      </c>
      <c r="B518" s="7" t="str">
        <f>IFERROR(__xludf.DUMMYFUNCTION("""COMPUTED_VALUE"""),"vor 13 Tagen")</f>
        <v>vor 13 Tagen</v>
      </c>
      <c r="C518" s="7" t="str">
        <f>IFERROR(__xludf.DUMMYFUNCTION("""COMPUTED_VALUE"""),"Computer scientist/data analyst in Single Cell Genomics &amp; Im...")</f>
        <v>Computer scientist/data analyst in Single Cell Genomics &amp; Im...</v>
      </c>
      <c r="D518" s="7" t="str">
        <f>IFERROR(__xludf.DUMMYFUNCTION("""COMPUTED_VALUE"""),"Heidelberg")</f>
        <v>Heidelberg</v>
      </c>
      <c r="E518" s="7" t="str">
        <f>IFERROR(__xludf.DUMMYFUNCTION("""COMPUTED_VALUE"""),"European Molecular Biology Laboratory")</f>
        <v>European Molecular Biology Laboratory</v>
      </c>
      <c r="F518" s="7" t="str">
        <f>IFERROR(__xludf.DUMMYFUNCTION("""COMPUTED_VALUE"""),"None")</f>
        <v>None</v>
      </c>
      <c r="G518" s="7" t="str">
        <f>IFERROR(__xludf.DUMMYFUNCTION("""COMPUTED_VALUE"""),"No salary data")</f>
        <v>No salary data</v>
      </c>
      <c r="H518" s="7" t="str">
        <f>IFERROR(__xludf.DUMMYFUNCTION("""COMPUTED_VALUE"""),"No salary data")</f>
        <v>No salary data</v>
      </c>
      <c r="I518" s="7" t="str">
        <f>IFERROR(__xludf.DUMMYFUNCTION("""COMPUTED_VALUE"""),"No salary data")</f>
        <v>No salary data</v>
      </c>
      <c r="J518" s="7" t="str">
        <f>IFERROR(__xludf.DUMMYFUNCTION("""COMPUTED_VALUE"""),"Excel")</f>
        <v>Excel</v>
      </c>
      <c r="K518" s="7" t="str">
        <f>IFERROR(__xludf.DUMMYFUNCTION("""COMPUTED_VALUE"""),"Contract")</f>
        <v>Contract</v>
      </c>
      <c r="L518" s="7" t="str">
        <f>IFERROR(__xludf.DUMMYFUNCTION("""COMPUTED_VALUE"""),"4,6")</f>
        <v>4,6</v>
      </c>
      <c r="M518" s="7"/>
      <c r="N518" s="7"/>
      <c r="O518" s="7"/>
    </row>
    <row r="519">
      <c r="A519" s="29">
        <f>IFERROR(__xludf.DUMMYFUNCTION("""COMPUTED_VALUE"""),515.0)</f>
        <v>515</v>
      </c>
      <c r="B519" s="7" t="str">
        <f>IFERROR(__xludf.DUMMYFUNCTION("""COMPUTED_VALUE"""),"vor 4 Tagen")</f>
        <v>vor 4 Tagen</v>
      </c>
      <c r="C519" s="7" t="str">
        <f>IFERROR(__xludf.DUMMYFUNCTION("""COMPUTED_VALUE"""),"Experte Datenvisualisierung / Information Design (m/w/d)")</f>
        <v>Experte Datenvisualisierung / Information Design (m/w/d)</v>
      </c>
      <c r="D519" s="7" t="str">
        <f>IFERROR(__xludf.DUMMYFUNCTION("""COMPUTED_VALUE"""),"Hamburg")</f>
        <v>Hamburg</v>
      </c>
      <c r="E519" s="7" t="str">
        <f>IFERROR(__xludf.DUMMYFUNCTION("""COMPUTED_VALUE"""),"Pilot")</f>
        <v>Pilot</v>
      </c>
      <c r="F519" s="7" t="str">
        <f>IFERROR(__xludf.DUMMYFUNCTION("""COMPUTED_VALUE"""),"None")</f>
        <v>None</v>
      </c>
      <c r="G519" s="7" t="str">
        <f>IFERROR(__xludf.DUMMYFUNCTION("""COMPUTED_VALUE"""),"No salary data")</f>
        <v>No salary data</v>
      </c>
      <c r="H519" s="7" t="str">
        <f>IFERROR(__xludf.DUMMYFUNCTION("""COMPUTED_VALUE"""),"No salary data")</f>
        <v>No salary data</v>
      </c>
      <c r="I519" s="7" t="str">
        <f>IFERROR(__xludf.DUMMYFUNCTION("""COMPUTED_VALUE"""),"No salary data")</f>
        <v>No salary data</v>
      </c>
      <c r="J519" s="7" t="str">
        <f>IFERROR(__xludf.DUMMYFUNCTION("""COMPUTED_VALUE"""),"SQL, Tableau, Excel")</f>
        <v>SQL, Tableau, Excel</v>
      </c>
      <c r="K519" s="7" t="str">
        <f>IFERROR(__xludf.DUMMYFUNCTION("""COMPUTED_VALUE"""),"No job type data")</f>
        <v>No job type data</v>
      </c>
      <c r="L519" s="7" t="str">
        <f>IFERROR(__xludf.DUMMYFUNCTION("""COMPUTED_VALUE"""),"None")</f>
        <v>None</v>
      </c>
      <c r="M519" s="7"/>
      <c r="N519" s="7"/>
      <c r="O519" s="7"/>
    </row>
    <row r="520">
      <c r="A520" s="29">
        <f>IFERROR(__xludf.DUMMYFUNCTION("""COMPUTED_VALUE"""),516.0)</f>
        <v>516</v>
      </c>
      <c r="B520" s="7" t="str">
        <f>IFERROR(__xludf.DUMMYFUNCTION("""COMPUTED_VALUE"""),"Vor mehr als 30 Tagen")</f>
        <v>Vor mehr als 30 Tagen</v>
      </c>
      <c r="C520" s="7" t="str">
        <f>IFERROR(__xludf.DUMMYFUNCTION("""COMPUTED_VALUE"""),"Data Engineer - Top Secret w/ SCI Eligibility - Multiple Loc...")</f>
        <v>Data Engineer - Top Secret w/ SCI Eligibility - Multiple Loc...</v>
      </c>
      <c r="D520" s="7" t="str">
        <f>IFERROR(__xludf.DUMMYFUNCTION("""COMPUTED_VALUE"""),"Wiesbaden")</f>
        <v>Wiesbaden</v>
      </c>
      <c r="E520" s="7" t="str">
        <f>IFERROR(__xludf.DUMMYFUNCTION("""COMPUTED_VALUE"""),"Logistics Management Institute")</f>
        <v>Logistics Management Institute</v>
      </c>
      <c r="F520" s="7" t="str">
        <f>IFERROR(__xludf.DUMMYFUNCTION("""COMPUTED_VALUE"""),"None")</f>
        <v>None</v>
      </c>
      <c r="G520" s="7" t="str">
        <f>IFERROR(__xludf.DUMMYFUNCTION("""COMPUTED_VALUE"""),"No salary data")</f>
        <v>No salary data</v>
      </c>
      <c r="H520" s="7" t="str">
        <f>IFERROR(__xludf.DUMMYFUNCTION("""COMPUTED_VALUE"""),"No salary data")</f>
        <v>No salary data</v>
      </c>
      <c r="I520" s="7" t="str">
        <f>IFERROR(__xludf.DUMMYFUNCTION("""COMPUTED_VALUE"""),"No salary data")</f>
        <v>No salary data</v>
      </c>
      <c r="J520" s="7" t="str">
        <f>IFERROR(__xludf.DUMMYFUNCTION("""COMPUTED_VALUE"""),"Python, SQL, Agile, Scrum")</f>
        <v>Python, SQL, Agile, Scrum</v>
      </c>
      <c r="K520" s="7" t="str">
        <f>IFERROR(__xludf.DUMMYFUNCTION("""COMPUTED_VALUE"""),"No job type data")</f>
        <v>No job type data</v>
      </c>
      <c r="L520" s="7" t="str">
        <f>IFERROR(__xludf.DUMMYFUNCTION("""COMPUTED_VALUE"""),"None")</f>
        <v>None</v>
      </c>
      <c r="M520" s="7"/>
      <c r="N520" s="7"/>
      <c r="O520" s="7"/>
    </row>
    <row r="521">
      <c r="A521" s="29">
        <f>IFERROR(__xludf.DUMMYFUNCTION("""COMPUTED_VALUE"""),517.0)</f>
        <v>517</v>
      </c>
      <c r="B521" s="7" t="str">
        <f>IFERROR(__xludf.DUMMYFUNCTION("""COMPUTED_VALUE"""),"Vor mehr als 30 Tagen")</f>
        <v>Vor mehr als 30 Tagen</v>
      </c>
      <c r="C521" s="7" t="str">
        <f>IFERROR(__xludf.DUMMYFUNCTION("""COMPUTED_VALUE"""),"Praktikum - Softwareentwickler (m/w/d) Data Science")</f>
        <v>Praktikum - Softwareentwickler (m/w/d) Data Science</v>
      </c>
      <c r="D521" s="7" t="str">
        <f>IFERROR(__xludf.DUMMYFUNCTION("""COMPUTED_VALUE"""),"Böblingen")</f>
        <v>Böblingen</v>
      </c>
      <c r="E521" s="7" t="str">
        <f>IFERROR(__xludf.DUMMYFUNCTION("""COMPUTED_VALUE"""),"umlaut AG")</f>
        <v>umlaut AG</v>
      </c>
      <c r="F521" s="7" t="str">
        <f>IFERROR(__xludf.DUMMYFUNCTION("""COMPUTED_VALUE"""),"None")</f>
        <v>None</v>
      </c>
      <c r="G521" s="7" t="str">
        <f>IFERROR(__xludf.DUMMYFUNCTION("""COMPUTED_VALUE"""),"No salary data")</f>
        <v>No salary data</v>
      </c>
      <c r="H521" s="7" t="str">
        <f>IFERROR(__xludf.DUMMYFUNCTION("""COMPUTED_VALUE"""),"No salary data")</f>
        <v>No salary data</v>
      </c>
      <c r="I521" s="7" t="str">
        <f>IFERROR(__xludf.DUMMYFUNCTION("""COMPUTED_VALUE"""),"No salary data")</f>
        <v>No salary data</v>
      </c>
      <c r="J521" s="7" t="str">
        <f>IFERROR(__xludf.DUMMYFUNCTION("""COMPUTED_VALUE"""),"Python, SQL, Machine Learning")</f>
        <v>Python, SQL, Machine Learning</v>
      </c>
      <c r="K521" s="7" t="str">
        <f>IFERROR(__xludf.DUMMYFUNCTION("""COMPUTED_VALUE"""),"No job type data")</f>
        <v>No job type data</v>
      </c>
      <c r="L521" s="7" t="str">
        <f>IFERROR(__xludf.DUMMYFUNCTION("""COMPUTED_VALUE"""),"5,0")</f>
        <v>5,0</v>
      </c>
      <c r="M521" s="7"/>
      <c r="N521" s="7"/>
      <c r="O521" s="7"/>
    </row>
    <row r="522">
      <c r="A522" s="29">
        <f>IFERROR(__xludf.DUMMYFUNCTION("""COMPUTED_VALUE"""),518.0)</f>
        <v>518</v>
      </c>
      <c r="B522" s="7" t="str">
        <f>IFERROR(__xludf.DUMMYFUNCTION("""COMPUTED_VALUE"""),"vor 7 Tagen")</f>
        <v>vor 7 Tagen</v>
      </c>
      <c r="C522" s="7" t="str">
        <f>IFERROR(__xludf.DUMMYFUNCTION("""COMPUTED_VALUE"""),"Data Engineer (w/m/d)")</f>
        <v>Data Engineer (w/m/d)</v>
      </c>
      <c r="D522" s="7" t="str">
        <f>IFERROR(__xludf.DUMMYFUNCTION("""COMPUTED_VALUE"""),"Frankfurt am Main")</f>
        <v>Frankfurt am Main</v>
      </c>
      <c r="E522" s="7" t="str">
        <f>IFERROR(__xludf.DUMMYFUNCTION("""COMPUTED_VALUE"""),"KM.ON")</f>
        <v>KM.ON</v>
      </c>
      <c r="F522" s="7" t="str">
        <f>IFERROR(__xludf.DUMMYFUNCTION("""COMPUTED_VALUE"""),"None")</f>
        <v>None</v>
      </c>
      <c r="G522" s="7" t="str">
        <f>IFERROR(__xludf.DUMMYFUNCTION("""COMPUTED_VALUE"""),"No salary data")</f>
        <v>No salary data</v>
      </c>
      <c r="H522" s="7" t="str">
        <f>IFERROR(__xludf.DUMMYFUNCTION("""COMPUTED_VALUE"""),"No salary data")</f>
        <v>No salary data</v>
      </c>
      <c r="I522" s="7" t="str">
        <f>IFERROR(__xludf.DUMMYFUNCTION("""COMPUTED_VALUE"""),"No salary data")</f>
        <v>No salary data</v>
      </c>
      <c r="J522" s="7" t="str">
        <f>IFERROR(__xludf.DUMMYFUNCTION("""COMPUTED_VALUE"""),"Python, Machine Learning")</f>
        <v>Python, Machine Learning</v>
      </c>
      <c r="K522" s="7" t="str">
        <f>IFERROR(__xludf.DUMMYFUNCTION("""COMPUTED_VALUE"""),"No job type data")</f>
        <v>No job type data</v>
      </c>
      <c r="L522" s="7" t="str">
        <f>IFERROR(__xludf.DUMMYFUNCTION("""COMPUTED_VALUE"""),"None")</f>
        <v>None</v>
      </c>
      <c r="M522" s="7"/>
      <c r="N522" s="7"/>
      <c r="O522" s="7"/>
    </row>
    <row r="523">
      <c r="A523" s="29">
        <f>IFERROR(__xludf.DUMMYFUNCTION("""COMPUTED_VALUE"""),519.0)</f>
        <v>519</v>
      </c>
      <c r="B523" s="7" t="str">
        <f>IFERROR(__xludf.DUMMYFUNCTION("""COMPUTED_VALUE"""),"Vor mehr als 30 Tagen")</f>
        <v>Vor mehr als 30 Tagen</v>
      </c>
      <c r="C523" s="7" t="str">
        <f>IFERROR(__xludf.DUMMYFUNCTION("""COMPUTED_VALUE"""),"Data Engineer (m/f/d)")</f>
        <v>Data Engineer (m/f/d)</v>
      </c>
      <c r="D523" s="7" t="str">
        <f>IFERROR(__xludf.DUMMYFUNCTION("""COMPUTED_VALUE"""),"Berlin")</f>
        <v>Berlin</v>
      </c>
      <c r="E523" s="7" t="str">
        <f>IFERROR(__xludf.DUMMYFUNCTION("""COMPUTED_VALUE"""),"infarm")</f>
        <v>infarm</v>
      </c>
      <c r="F523" s="7" t="str">
        <f>IFERROR(__xludf.DUMMYFUNCTION("""COMPUTED_VALUE"""),"None")</f>
        <v>None</v>
      </c>
      <c r="G523" s="7" t="str">
        <f>IFERROR(__xludf.DUMMYFUNCTION("""COMPUTED_VALUE"""),"No salary data")</f>
        <v>No salary data</v>
      </c>
      <c r="H523" s="7" t="str">
        <f>IFERROR(__xludf.DUMMYFUNCTION("""COMPUTED_VALUE"""),"No salary data")</f>
        <v>No salary data</v>
      </c>
      <c r="I523" s="7" t="str">
        <f>IFERROR(__xludf.DUMMYFUNCTION("""COMPUTED_VALUE"""),"No salary data")</f>
        <v>No salary data</v>
      </c>
      <c r="J523" s="7" t="str">
        <f>IFERROR(__xludf.DUMMYFUNCTION("""COMPUTED_VALUE"""),"Python")</f>
        <v>Python</v>
      </c>
      <c r="K523" s="7" t="str">
        <f>IFERROR(__xludf.DUMMYFUNCTION("""COMPUTED_VALUE"""),"No job type data")</f>
        <v>No job type data</v>
      </c>
      <c r="L523" s="7" t="str">
        <f>IFERROR(__xludf.DUMMYFUNCTION("""COMPUTED_VALUE"""),"None")</f>
        <v>None</v>
      </c>
      <c r="M523" s="7"/>
      <c r="N523" s="7"/>
      <c r="O523" s="7"/>
    </row>
    <row r="524">
      <c r="A524" s="29">
        <f>IFERROR(__xludf.DUMMYFUNCTION("""COMPUTED_VALUE"""),520.0)</f>
        <v>520</v>
      </c>
      <c r="B524" s="7" t="str">
        <f>IFERROR(__xludf.DUMMYFUNCTION("""COMPUTED_VALUE"""),"Vor mehr als 30 Tagen")</f>
        <v>Vor mehr als 30 Tagen</v>
      </c>
      <c r="C524" s="7" t="str">
        <f>IFERROR(__xludf.DUMMYFUNCTION("""COMPUTED_VALUE"""),"Physiker/ Mathematiker/ Naturwissenschaftler als Data Wareho...")</f>
        <v>Physiker/ Mathematiker/ Naturwissenschaftler als Data Wareho...</v>
      </c>
      <c r="D524" s="7" t="str">
        <f>IFERROR(__xludf.DUMMYFUNCTION("""COMPUTED_VALUE"""),"Deutschland")</f>
        <v>Deutschland</v>
      </c>
      <c r="E524" s="7" t="str">
        <f>IFERROR(__xludf.DUMMYFUNCTION("""COMPUTED_VALUE"""),"SENACOR")</f>
        <v>SENACOR</v>
      </c>
      <c r="F524" s="7" t="str">
        <f>IFERROR(__xludf.DUMMYFUNCTION("""COMPUTED_VALUE"""),"None")</f>
        <v>None</v>
      </c>
      <c r="G524" s="7" t="str">
        <f>IFERROR(__xludf.DUMMYFUNCTION("""COMPUTED_VALUE"""),"No salary data")</f>
        <v>No salary data</v>
      </c>
      <c r="H524" s="7" t="str">
        <f>IFERROR(__xludf.DUMMYFUNCTION("""COMPUTED_VALUE"""),"No salary data")</f>
        <v>No salary data</v>
      </c>
      <c r="I524" s="7" t="str">
        <f>IFERROR(__xludf.DUMMYFUNCTION("""COMPUTED_VALUE"""),"No salary data")</f>
        <v>No salary data</v>
      </c>
      <c r="J524" s="7"/>
      <c r="K524" s="7" t="str">
        <f>IFERROR(__xludf.DUMMYFUNCTION("""COMPUTED_VALUE"""),"No job type data")</f>
        <v>No job type data</v>
      </c>
      <c r="L524" s="7" t="str">
        <f>IFERROR(__xludf.DUMMYFUNCTION("""COMPUTED_VALUE"""),"None")</f>
        <v>None</v>
      </c>
      <c r="M524" s="7"/>
      <c r="N524" s="7"/>
      <c r="O524" s="7"/>
    </row>
    <row r="525">
      <c r="A525" s="29">
        <f>IFERROR(__xludf.DUMMYFUNCTION("""COMPUTED_VALUE"""),521.0)</f>
        <v>521</v>
      </c>
      <c r="B525" s="7" t="str">
        <f>IFERROR(__xludf.DUMMYFUNCTION("""COMPUTED_VALUE"""),"vor 12 Tagen")</f>
        <v>vor 12 Tagen</v>
      </c>
      <c r="C525" s="7" t="str">
        <f>IFERROR(__xludf.DUMMYFUNCTION("""COMPUTED_VALUE"""),"Data Scientist - Pricing (m/w/d)")</f>
        <v>Data Scientist - Pricing (m/w/d)</v>
      </c>
      <c r="D525" s="7" t="str">
        <f>IFERROR(__xludf.DUMMYFUNCTION("""COMPUTED_VALUE"""),"Neu Isenburg")</f>
        <v>Neu Isenburg</v>
      </c>
      <c r="E525" s="7" t="str">
        <f>IFERROR(__xludf.DUMMYFUNCTION("""COMPUTED_VALUE"""),"PALTRON GmbH")</f>
        <v>PALTRON GmbH</v>
      </c>
      <c r="F525" s="7" t="str">
        <f>IFERROR(__xludf.DUMMYFUNCTION("""COMPUTED_VALUE"""),"None")</f>
        <v>None</v>
      </c>
      <c r="G525" s="7" t="str">
        <f>IFERROR(__xludf.DUMMYFUNCTION("""COMPUTED_VALUE"""),"No salary data")</f>
        <v>No salary data</v>
      </c>
      <c r="H525" s="7" t="str">
        <f>IFERROR(__xludf.DUMMYFUNCTION("""COMPUTED_VALUE"""),"No salary data")</f>
        <v>No salary data</v>
      </c>
      <c r="I525" s="7" t="str">
        <f>IFERROR(__xludf.DUMMYFUNCTION("""COMPUTED_VALUE"""),"No salary data")</f>
        <v>No salary data</v>
      </c>
      <c r="J525" s="7" t="str">
        <f>IFERROR(__xludf.DUMMYFUNCTION("""COMPUTED_VALUE"""),"Agile")</f>
        <v>Agile</v>
      </c>
      <c r="K525" s="7" t="str">
        <f>IFERROR(__xludf.DUMMYFUNCTION("""COMPUTED_VALUE"""),"No job type data")</f>
        <v>No job type data</v>
      </c>
      <c r="L525" s="7" t="str">
        <f>IFERROR(__xludf.DUMMYFUNCTION("""COMPUTED_VALUE"""),"None")</f>
        <v>None</v>
      </c>
      <c r="M525" s="7"/>
      <c r="N525" s="7"/>
      <c r="O525" s="7"/>
    </row>
    <row r="526">
      <c r="A526" s="29">
        <f>IFERROR(__xludf.DUMMYFUNCTION("""COMPUTED_VALUE"""),522.0)</f>
        <v>522</v>
      </c>
      <c r="B526" s="7" t="str">
        <f>IFERROR(__xludf.DUMMYFUNCTION("""COMPUTED_VALUE"""),"vor 26 Tagen")</f>
        <v>vor 26 Tagen</v>
      </c>
      <c r="C526" s="7" t="str">
        <f>IFERROR(__xludf.DUMMYFUNCTION("""COMPUTED_VALUE"""),"Working Student - Pricing &amp; Market Making - Business Analyse...")</f>
        <v>Working Student - Pricing &amp; Market Making - Business Analyse...</v>
      </c>
      <c r="D526" s="7" t="str">
        <f>IFERROR(__xludf.DUMMYFUNCTION("""COMPUTED_VALUE"""),"Frankfurt am Main")</f>
        <v>Frankfurt am Main</v>
      </c>
      <c r="E526" s="7" t="str">
        <f>IFERROR(__xludf.DUMMYFUNCTION("""COMPUTED_VALUE"""),"Deutsche Börse")</f>
        <v>Deutsche Börse</v>
      </c>
      <c r="F526" s="7" t="str">
        <f>IFERROR(__xludf.DUMMYFUNCTION("""COMPUTED_VALUE"""),"None")</f>
        <v>None</v>
      </c>
      <c r="G526" s="7" t="str">
        <f>IFERROR(__xludf.DUMMYFUNCTION("""COMPUTED_VALUE"""),"No salary data")</f>
        <v>No salary data</v>
      </c>
      <c r="H526" s="7" t="str">
        <f>IFERROR(__xludf.DUMMYFUNCTION("""COMPUTED_VALUE"""),"No salary data")</f>
        <v>No salary data</v>
      </c>
      <c r="I526" s="7" t="str">
        <f>IFERROR(__xludf.DUMMYFUNCTION("""COMPUTED_VALUE"""),"No salary data")</f>
        <v>No salary data</v>
      </c>
      <c r="J526" s="7" t="str">
        <f>IFERROR(__xludf.DUMMYFUNCTION("""COMPUTED_VALUE"""),"Python, SQL, Excel, Statistic")</f>
        <v>Python, SQL, Excel, Statistic</v>
      </c>
      <c r="K526" s="7" t="str">
        <f>IFERROR(__xludf.DUMMYFUNCTION("""COMPUTED_VALUE"""),"No job type data")</f>
        <v>No job type data</v>
      </c>
      <c r="L526" s="7" t="str">
        <f>IFERROR(__xludf.DUMMYFUNCTION("""COMPUTED_VALUE"""),"4,9")</f>
        <v>4,9</v>
      </c>
      <c r="M526" s="7"/>
      <c r="N526" s="7"/>
      <c r="O526" s="7"/>
    </row>
    <row r="527">
      <c r="A527" s="29">
        <f>IFERROR(__xludf.DUMMYFUNCTION("""COMPUTED_VALUE"""),523.0)</f>
        <v>523</v>
      </c>
      <c r="B527" s="7" t="str">
        <f>IFERROR(__xludf.DUMMYFUNCTION("""COMPUTED_VALUE"""),"Vor mehr als 30 Tagen")</f>
        <v>Vor mehr als 30 Tagen</v>
      </c>
      <c r="C527" s="7" t="str">
        <f>IFERROR(__xludf.DUMMYFUNCTION("""COMPUTED_VALUE"""),"Entwickler (m/w/d) - Data Science")</f>
        <v>Entwickler (m/w/d) - Data Science</v>
      </c>
      <c r="D527" s="7" t="str">
        <f>IFERROR(__xludf.DUMMYFUNCTION("""COMPUTED_VALUE"""),"Böblingen")</f>
        <v>Böblingen</v>
      </c>
      <c r="E527" s="7" t="str">
        <f>IFERROR(__xludf.DUMMYFUNCTION("""COMPUTED_VALUE"""),"umlaut AG")</f>
        <v>umlaut AG</v>
      </c>
      <c r="F527" s="7" t="str">
        <f>IFERROR(__xludf.DUMMYFUNCTION("""COMPUTED_VALUE"""),"None")</f>
        <v>None</v>
      </c>
      <c r="G527" s="7" t="str">
        <f>IFERROR(__xludf.DUMMYFUNCTION("""COMPUTED_VALUE"""),"No salary data")</f>
        <v>No salary data</v>
      </c>
      <c r="H527" s="7" t="str">
        <f>IFERROR(__xludf.DUMMYFUNCTION("""COMPUTED_VALUE"""),"No salary data")</f>
        <v>No salary data</v>
      </c>
      <c r="I527" s="7" t="str">
        <f>IFERROR(__xludf.DUMMYFUNCTION("""COMPUTED_VALUE"""),"No salary data")</f>
        <v>No salary data</v>
      </c>
      <c r="J527" s="7" t="str">
        <f>IFERROR(__xludf.DUMMYFUNCTION("""COMPUTED_VALUE"""),"Python, SQL, Linux")</f>
        <v>Python, SQL, Linux</v>
      </c>
      <c r="K527" s="7" t="str">
        <f>IFERROR(__xludf.DUMMYFUNCTION("""COMPUTED_VALUE"""),"No job type data")</f>
        <v>No job type data</v>
      </c>
      <c r="L527" s="7" t="str">
        <f>IFERROR(__xludf.DUMMYFUNCTION("""COMPUTED_VALUE"""),"5,0")</f>
        <v>5,0</v>
      </c>
      <c r="M527" s="7"/>
      <c r="N527" s="7"/>
      <c r="O527" s="7"/>
    </row>
    <row r="528">
      <c r="A528" s="29">
        <f>IFERROR(__xludf.DUMMYFUNCTION("""COMPUTED_VALUE"""),524.0)</f>
        <v>524</v>
      </c>
      <c r="B528" s="7" t="str">
        <f>IFERROR(__xludf.DUMMYFUNCTION("""COMPUTED_VALUE"""),"Vor mehr als 30 Tagen")</f>
        <v>Vor mehr als 30 Tagen</v>
      </c>
      <c r="C528" s="7" t="str">
        <f>IFERROR(__xludf.DUMMYFUNCTION("""COMPUTED_VALUE"""),"Associate Intern – Data Science in Growth Equity (w/m/d) Fra...")</f>
        <v>Associate Intern – Data Science in Growth Equity (w/m/d) Fra...</v>
      </c>
      <c r="D528" s="7" t="str">
        <f>IFERROR(__xludf.DUMMYFUNCTION("""COMPUTED_VALUE"""),"Deutschland")</f>
        <v>Deutschland</v>
      </c>
      <c r="E528" s="7" t="str">
        <f>IFERROR(__xludf.DUMMYFUNCTION("""COMPUTED_VALUE"""),"Digital Partners")</f>
        <v>Digital Partners</v>
      </c>
      <c r="F528" s="7" t="str">
        <f>IFERROR(__xludf.DUMMYFUNCTION("""COMPUTED_VALUE"""),"None")</f>
        <v>None</v>
      </c>
      <c r="G528" s="7" t="str">
        <f>IFERROR(__xludf.DUMMYFUNCTION("""COMPUTED_VALUE"""),"No salary data")</f>
        <v>No salary data</v>
      </c>
      <c r="H528" s="7" t="str">
        <f>IFERROR(__xludf.DUMMYFUNCTION("""COMPUTED_VALUE"""),"No salary data")</f>
        <v>No salary data</v>
      </c>
      <c r="I528" s="7" t="str">
        <f>IFERROR(__xludf.DUMMYFUNCTION("""COMPUTED_VALUE"""),"No salary data")</f>
        <v>No salary data</v>
      </c>
      <c r="J528" s="7" t="str">
        <f>IFERROR(__xludf.DUMMYFUNCTION("""COMPUTED_VALUE"""),"Excel, Machine Learning, Git")</f>
        <v>Excel, Machine Learning, Git</v>
      </c>
      <c r="K528" s="7" t="str">
        <f>IFERROR(__xludf.DUMMYFUNCTION("""COMPUTED_VALUE"""),"No job type data")</f>
        <v>No job type data</v>
      </c>
      <c r="L528" s="7" t="str">
        <f>IFERROR(__xludf.DUMMYFUNCTION("""COMPUTED_VALUE"""),"None")</f>
        <v>None</v>
      </c>
      <c r="M528" s="7"/>
      <c r="N528" s="7"/>
      <c r="O528" s="7"/>
    </row>
    <row r="529">
      <c r="A529" s="29">
        <f>IFERROR(__xludf.DUMMYFUNCTION("""COMPUTED_VALUE"""),525.0)</f>
        <v>525</v>
      </c>
      <c r="B529" s="7" t="str">
        <f>IFERROR(__xludf.DUMMYFUNCTION("""COMPUTED_VALUE"""),"Gerade geschaltet")</f>
        <v>Gerade geschaltet</v>
      </c>
      <c r="C529" s="7" t="str">
        <f>IFERROR(__xludf.DUMMYFUNCTION("""COMPUTED_VALUE"""),"Business Intelligence Specialist (m/w/d) - Gigafactory Berli...")</f>
        <v>Business Intelligence Specialist (m/w/d) - Gigafactory Berli...</v>
      </c>
      <c r="D529" s="7" t="str">
        <f>IFERROR(__xludf.DUMMYFUNCTION("""COMPUTED_VALUE"""),"Grünheide (Mark)")</f>
        <v>Grünheide (Mark)</v>
      </c>
      <c r="E529" s="7" t="str">
        <f>IFERROR(__xludf.DUMMYFUNCTION("""COMPUTED_VALUE"""),"Tesla")</f>
        <v>Tesla</v>
      </c>
      <c r="F529" s="7" t="str">
        <f>IFERROR(__xludf.DUMMYFUNCTION("""COMPUTED_VALUE"""),"None")</f>
        <v>None</v>
      </c>
      <c r="G529" s="7" t="str">
        <f>IFERROR(__xludf.DUMMYFUNCTION("""COMPUTED_VALUE"""),"No salary data")</f>
        <v>No salary data</v>
      </c>
      <c r="H529" s="7" t="str">
        <f>IFERROR(__xludf.DUMMYFUNCTION("""COMPUTED_VALUE"""),"No salary data")</f>
        <v>No salary data</v>
      </c>
      <c r="I529" s="7" t="str">
        <f>IFERROR(__xludf.DUMMYFUNCTION("""COMPUTED_VALUE"""),"No salary data")</f>
        <v>No salary data</v>
      </c>
      <c r="J529" s="7" t="str">
        <f>IFERROR(__xludf.DUMMYFUNCTION("""COMPUTED_VALUE"""),"Git")</f>
        <v>Git</v>
      </c>
      <c r="K529" s="7" t="str">
        <f>IFERROR(__xludf.DUMMYFUNCTION("""COMPUTED_VALUE"""),"No job type data")</f>
        <v>No job type data</v>
      </c>
      <c r="L529" s="7" t="str">
        <f>IFERROR(__xludf.DUMMYFUNCTION("""COMPUTED_VALUE"""),"3,5")</f>
        <v>3,5</v>
      </c>
      <c r="M529" s="7"/>
      <c r="N529" s="7"/>
      <c r="O529" s="7"/>
    </row>
    <row r="530">
      <c r="A530" s="29">
        <f>IFERROR(__xludf.DUMMYFUNCTION("""COMPUTED_VALUE"""),526.0)</f>
        <v>526</v>
      </c>
      <c r="B530" s="7" t="str">
        <f>IFERROR(__xludf.DUMMYFUNCTION("""COMPUTED_VALUE"""),"vor 18 Tagen")</f>
        <v>vor 18 Tagen</v>
      </c>
      <c r="C530" s="7" t="str">
        <f>IFERROR(__xludf.DUMMYFUNCTION("""COMPUTED_VALUE"""),"Business Analyst (w/m/d)")</f>
        <v>Business Analyst (w/m/d)</v>
      </c>
      <c r="D530" s="7" t="str">
        <f>IFERROR(__xludf.DUMMYFUNCTION("""COMPUTED_VALUE"""),"Hamburg")</f>
        <v>Hamburg</v>
      </c>
      <c r="E530" s="7" t="str">
        <f>IFERROR(__xludf.DUMMYFUNCTION("""COMPUTED_VALUE"""),"Otto (GmbH &amp; Co KG)")</f>
        <v>Otto (GmbH &amp; Co KG)</v>
      </c>
      <c r="F530" s="7" t="str">
        <f>IFERROR(__xludf.DUMMYFUNCTION("""COMPUTED_VALUE"""),"None")</f>
        <v>None</v>
      </c>
      <c r="G530" s="7" t="str">
        <f>IFERROR(__xludf.DUMMYFUNCTION("""COMPUTED_VALUE"""),"No salary data")</f>
        <v>No salary data</v>
      </c>
      <c r="H530" s="7" t="str">
        <f>IFERROR(__xludf.DUMMYFUNCTION("""COMPUTED_VALUE"""),"No salary data")</f>
        <v>No salary data</v>
      </c>
      <c r="I530" s="7" t="str">
        <f>IFERROR(__xludf.DUMMYFUNCTION("""COMPUTED_VALUE"""),"No salary data")</f>
        <v>No salary data</v>
      </c>
      <c r="J530" s="7" t="str">
        <f>IFERROR(__xludf.DUMMYFUNCTION("""COMPUTED_VALUE"""),"Python, SQL, Tableau, Machine Learning, Agile")</f>
        <v>Python, SQL, Tableau, Machine Learning, Agile</v>
      </c>
      <c r="K530" s="7" t="str">
        <f>IFERROR(__xludf.DUMMYFUNCTION("""COMPUTED_VALUE"""),"No job type data")</f>
        <v>No job type data</v>
      </c>
      <c r="L530" s="7" t="str">
        <f>IFERROR(__xludf.DUMMYFUNCTION("""COMPUTED_VALUE"""),"3,5")</f>
        <v>3,5</v>
      </c>
      <c r="M530" s="7"/>
      <c r="N530" s="7"/>
      <c r="O530" s="7"/>
    </row>
    <row r="531">
      <c r="A531" s="29">
        <f>IFERROR(__xludf.DUMMYFUNCTION("""COMPUTED_VALUE"""),527.0)</f>
        <v>527</v>
      </c>
      <c r="B531" s="7" t="str">
        <f>IFERROR(__xludf.DUMMYFUNCTION("""COMPUTED_VALUE"""),"Vor mehr als 30 Tagen")</f>
        <v>Vor mehr als 30 Tagen</v>
      </c>
      <c r="C531" s="7" t="str">
        <f>IFERROR(__xludf.DUMMYFUNCTION("""COMPUTED_VALUE"""),"SCM Data Analyst (m/f/x)")</f>
        <v>SCM Data Analyst (m/f/x)</v>
      </c>
      <c r="D531" s="7" t="str">
        <f>IFERROR(__xludf.DUMMYFUNCTION("""COMPUTED_VALUE"""),"Berlin")</f>
        <v>Berlin</v>
      </c>
      <c r="E531" s="7" t="str">
        <f>IFERROR(__xludf.DUMMYFUNCTION("""COMPUTED_VALUE"""),"HelloFresh")</f>
        <v>HelloFresh</v>
      </c>
      <c r="F531" s="7" t="str">
        <f>IFERROR(__xludf.DUMMYFUNCTION("""COMPUTED_VALUE"""),"None")</f>
        <v>None</v>
      </c>
      <c r="G531" s="7" t="str">
        <f>IFERROR(__xludf.DUMMYFUNCTION("""COMPUTED_VALUE"""),"No salary data")</f>
        <v>No salary data</v>
      </c>
      <c r="H531" s="7" t="str">
        <f>IFERROR(__xludf.DUMMYFUNCTION("""COMPUTED_VALUE"""),"No salary data")</f>
        <v>No salary data</v>
      </c>
      <c r="I531" s="7" t="str">
        <f>IFERROR(__xludf.DUMMYFUNCTION("""COMPUTED_VALUE"""),"No salary data")</f>
        <v>No salary data</v>
      </c>
      <c r="J531" s="7" t="str">
        <f>IFERROR(__xludf.DUMMYFUNCTION("""COMPUTED_VALUE"""),"Python, SQL, Tableau, Excel, Statistic")</f>
        <v>Python, SQL, Tableau, Excel, Statistic</v>
      </c>
      <c r="K531" s="7" t="str">
        <f>IFERROR(__xludf.DUMMYFUNCTION("""COMPUTED_VALUE"""),"No job type data")</f>
        <v>No job type data</v>
      </c>
      <c r="L531" s="7" t="str">
        <f>IFERROR(__xludf.DUMMYFUNCTION("""COMPUTED_VALUE"""),"3,2")</f>
        <v>3,2</v>
      </c>
      <c r="M531" s="7"/>
      <c r="N531" s="7"/>
      <c r="O531" s="7"/>
    </row>
    <row r="532">
      <c r="A532" s="29">
        <f>IFERROR(__xludf.DUMMYFUNCTION("""COMPUTED_VALUE"""),528.0)</f>
        <v>528</v>
      </c>
      <c r="B532" s="7" t="str">
        <f>IFERROR(__xludf.DUMMYFUNCTION("""COMPUTED_VALUE"""),"Vor mehr als 30 Tagen")</f>
        <v>Vor mehr als 30 Tagen</v>
      </c>
      <c r="C532" s="7" t="str">
        <f>IFERROR(__xludf.DUMMYFUNCTION("""COMPUTED_VALUE"""),"Junior Data Engineer (f/m/d)")</f>
        <v>Junior Data Engineer (f/m/d)</v>
      </c>
      <c r="D532" s="7" t="str">
        <f>IFERROR(__xludf.DUMMYFUNCTION("""COMPUTED_VALUE"""),"Berlin")</f>
        <v>Berlin</v>
      </c>
      <c r="E532" s="7" t="str">
        <f>IFERROR(__xludf.DUMMYFUNCTION("""COMPUTED_VALUE"""),"AWIN")</f>
        <v>AWIN</v>
      </c>
      <c r="F532" s="7" t="str">
        <f>IFERROR(__xludf.DUMMYFUNCTION("""COMPUTED_VALUE"""),"None")</f>
        <v>None</v>
      </c>
      <c r="G532" s="7" t="str">
        <f>IFERROR(__xludf.DUMMYFUNCTION("""COMPUTED_VALUE"""),"No salary data")</f>
        <v>No salary data</v>
      </c>
      <c r="H532" s="7" t="str">
        <f>IFERROR(__xludf.DUMMYFUNCTION("""COMPUTED_VALUE"""),"No salary data")</f>
        <v>No salary data</v>
      </c>
      <c r="I532" s="7" t="str">
        <f>IFERROR(__xludf.DUMMYFUNCTION("""COMPUTED_VALUE"""),"No salary data")</f>
        <v>No salary data</v>
      </c>
      <c r="J532" s="7" t="str">
        <f>IFERROR(__xludf.DUMMYFUNCTION("""COMPUTED_VALUE"""),"Python, SQL, Machine Learning, Git, Agile, Scrum")</f>
        <v>Python, SQL, Machine Learning, Git, Agile, Scrum</v>
      </c>
      <c r="K532" s="7" t="str">
        <f>IFERROR(__xludf.DUMMYFUNCTION("""COMPUTED_VALUE"""),"No job type data")</f>
        <v>No job type data</v>
      </c>
      <c r="L532" s="7" t="str">
        <f>IFERROR(__xludf.DUMMYFUNCTION("""COMPUTED_VALUE"""),"None")</f>
        <v>None</v>
      </c>
      <c r="M532" s="7"/>
      <c r="N532" s="7"/>
      <c r="O532" s="7"/>
    </row>
    <row r="533">
      <c r="A533" s="29">
        <f>IFERROR(__xludf.DUMMYFUNCTION("""COMPUTED_VALUE"""),529.0)</f>
        <v>529</v>
      </c>
      <c r="B533" s="7" t="str">
        <f>IFERROR(__xludf.DUMMYFUNCTION("""COMPUTED_VALUE"""),"vor 3 Tagen")</f>
        <v>vor 3 Tagen</v>
      </c>
      <c r="C533" s="7" t="str">
        <f>IFERROR(__xludf.DUMMYFUNCTION("""COMPUTED_VALUE"""),"Referent Data Science (m/w/d)")</f>
        <v>Referent Data Science (m/w/d)</v>
      </c>
      <c r="D533" s="7" t="str">
        <f>IFERROR(__xludf.DUMMYFUNCTION("""COMPUTED_VALUE"""),"Köln")</f>
        <v>Köln</v>
      </c>
      <c r="E533" s="7" t="str">
        <f>IFERROR(__xludf.DUMMYFUNCTION("""COMPUTED_VALUE"""),"NetCologne")</f>
        <v>NetCologne</v>
      </c>
      <c r="F533" s="7" t="str">
        <f>IFERROR(__xludf.DUMMYFUNCTION("""COMPUTED_VALUE"""),"None")</f>
        <v>None</v>
      </c>
      <c r="G533" s="7" t="str">
        <f>IFERROR(__xludf.DUMMYFUNCTION("""COMPUTED_VALUE"""),"No salary data")</f>
        <v>No salary data</v>
      </c>
      <c r="H533" s="7" t="str">
        <f>IFERROR(__xludf.DUMMYFUNCTION("""COMPUTED_VALUE"""),"No salary data")</f>
        <v>No salary data</v>
      </c>
      <c r="I533" s="7" t="str">
        <f>IFERROR(__xludf.DUMMYFUNCTION("""COMPUTED_VALUE"""),"No salary data")</f>
        <v>No salary data</v>
      </c>
      <c r="J533" s="7" t="str">
        <f>IFERROR(__xludf.DUMMYFUNCTION("""COMPUTED_VALUE"""),"Machine Learning")</f>
        <v>Machine Learning</v>
      </c>
      <c r="K533" s="7" t="str">
        <f>IFERROR(__xludf.DUMMYFUNCTION("""COMPUTED_VALUE"""),"No job type data")</f>
        <v>No job type data</v>
      </c>
      <c r="L533" s="7" t="str">
        <f>IFERROR(__xludf.DUMMYFUNCTION("""COMPUTED_VALUE"""),"4,7")</f>
        <v>4,7</v>
      </c>
      <c r="M533" s="7"/>
      <c r="N533" s="7"/>
      <c r="O533" s="7"/>
    </row>
    <row r="534">
      <c r="A534" s="29">
        <f>IFERROR(__xludf.DUMMYFUNCTION("""COMPUTED_VALUE"""),530.0)</f>
        <v>530</v>
      </c>
      <c r="B534" s="7" t="str">
        <f>IFERROR(__xludf.DUMMYFUNCTION("""COMPUTED_VALUE"""),"Vor mehr als 30 Tagen")</f>
        <v>Vor mehr als 30 Tagen</v>
      </c>
      <c r="C534" s="7" t="str">
        <f>IFERROR(__xludf.DUMMYFUNCTION("""COMPUTED_VALUE"""),"Data Analyst")</f>
        <v>Data Analyst</v>
      </c>
      <c r="D534" s="7" t="str">
        <f>IFERROR(__xludf.DUMMYFUNCTION("""COMPUTED_VALUE"""),"München")</f>
        <v>München</v>
      </c>
      <c r="E534" s="7" t="str">
        <f>IFERROR(__xludf.DUMMYFUNCTION("""COMPUTED_VALUE"""),"ClimatePartner GmbH")</f>
        <v>ClimatePartner GmbH</v>
      </c>
      <c r="F534" s="7" t="str">
        <f>IFERROR(__xludf.DUMMYFUNCTION("""COMPUTED_VALUE"""),"None")</f>
        <v>None</v>
      </c>
      <c r="G534" s="7" t="str">
        <f>IFERROR(__xludf.DUMMYFUNCTION("""COMPUTED_VALUE"""),"No salary data")</f>
        <v>No salary data</v>
      </c>
      <c r="H534" s="7" t="str">
        <f>IFERROR(__xludf.DUMMYFUNCTION("""COMPUTED_VALUE"""),"No salary data")</f>
        <v>No salary data</v>
      </c>
      <c r="I534" s="7" t="str">
        <f>IFERROR(__xludf.DUMMYFUNCTION("""COMPUTED_VALUE"""),"No salary data")</f>
        <v>No salary data</v>
      </c>
      <c r="J534" s="7" t="str">
        <f>IFERROR(__xludf.DUMMYFUNCTION("""COMPUTED_VALUE"""),"Python, Excel")</f>
        <v>Python, Excel</v>
      </c>
      <c r="K534" s="7" t="str">
        <f>IFERROR(__xludf.DUMMYFUNCTION("""COMPUTED_VALUE"""),"No job type data")</f>
        <v>No job type data</v>
      </c>
      <c r="L534" s="7" t="str">
        <f>IFERROR(__xludf.DUMMYFUNCTION("""COMPUTED_VALUE"""),"None")</f>
        <v>None</v>
      </c>
      <c r="M534" s="7"/>
      <c r="N534" s="7"/>
      <c r="O534" s="7"/>
    </row>
    <row r="535">
      <c r="A535" s="29">
        <f>IFERROR(__xludf.DUMMYFUNCTION("""COMPUTED_VALUE"""),531.0)</f>
        <v>531</v>
      </c>
      <c r="B535" s="7" t="str">
        <f>IFERROR(__xludf.DUMMYFUNCTION("""COMPUTED_VALUE"""),"Vor mehr als 30 Tagen")</f>
        <v>Vor mehr als 30 Tagen</v>
      </c>
      <c r="C535" s="7" t="str">
        <f>IFERROR(__xludf.DUMMYFUNCTION("""COMPUTED_VALUE"""),"Wirtschaftsmathematiker (w/m/d) Data Risk &amp; Quality")</f>
        <v>Wirtschaftsmathematiker (w/m/d) Data Risk &amp; Quality</v>
      </c>
      <c r="D535" s="7" t="str">
        <f>IFERROR(__xludf.DUMMYFUNCTION("""COMPUTED_VALUE"""),"Mönchengladbach")</f>
        <v>Mönchengladbach</v>
      </c>
      <c r="E535" s="7" t="str">
        <f>IFERROR(__xludf.DUMMYFUNCTION("""COMPUTED_VALUE"""),"Santander Consumer Bank AG")</f>
        <v>Santander Consumer Bank AG</v>
      </c>
      <c r="F535" s="7" t="str">
        <f>IFERROR(__xludf.DUMMYFUNCTION("""COMPUTED_VALUE"""),"None")</f>
        <v>None</v>
      </c>
      <c r="G535" s="7" t="str">
        <f>IFERROR(__xludf.DUMMYFUNCTION("""COMPUTED_VALUE"""),"No salary data")</f>
        <v>No salary data</v>
      </c>
      <c r="H535" s="7" t="str">
        <f>IFERROR(__xludf.DUMMYFUNCTION("""COMPUTED_VALUE"""),"No salary data")</f>
        <v>No salary data</v>
      </c>
      <c r="I535" s="7" t="str">
        <f>IFERROR(__xludf.DUMMYFUNCTION("""COMPUTED_VALUE"""),"No salary data")</f>
        <v>No salary data</v>
      </c>
      <c r="J535" s="7" t="str">
        <f>IFERROR(__xludf.DUMMYFUNCTION("""COMPUTED_VALUE"""),"SQL, Excel")</f>
        <v>SQL, Excel</v>
      </c>
      <c r="K535" s="7" t="str">
        <f>IFERROR(__xludf.DUMMYFUNCTION("""COMPUTED_VALUE"""),"No job type data")</f>
        <v>No job type data</v>
      </c>
      <c r="L535" s="7" t="str">
        <f>IFERROR(__xludf.DUMMYFUNCTION("""COMPUTED_VALUE"""),"3,6")</f>
        <v>3,6</v>
      </c>
      <c r="M535" s="7"/>
      <c r="N535" s="7"/>
      <c r="O535" s="7"/>
    </row>
    <row r="536">
      <c r="A536" s="29">
        <f>IFERROR(__xludf.DUMMYFUNCTION("""COMPUTED_VALUE"""),532.0)</f>
        <v>532</v>
      </c>
      <c r="B536" s="7" t="str">
        <f>IFERROR(__xludf.DUMMYFUNCTION("""COMPUTED_VALUE"""),"Vor mehr als 30 Tagen")</f>
        <v>Vor mehr als 30 Tagen</v>
      </c>
      <c r="C536" s="7" t="str">
        <f>IFERROR(__xludf.DUMMYFUNCTION("""COMPUTED_VALUE"""),"Data Scientist")</f>
        <v>Data Scientist</v>
      </c>
      <c r="D536" s="7" t="str">
        <f>IFERROR(__xludf.DUMMYFUNCTION("""COMPUTED_VALUE"""),"Berlin")</f>
        <v>Berlin</v>
      </c>
      <c r="E536" s="7" t="str">
        <f>IFERROR(__xludf.DUMMYFUNCTION("""COMPUTED_VALUE"""),"Trade Republic Bank GmbH")</f>
        <v>Trade Republic Bank GmbH</v>
      </c>
      <c r="F536" s="7" t="str">
        <f>IFERROR(__xludf.DUMMYFUNCTION("""COMPUTED_VALUE"""),"None")</f>
        <v>None</v>
      </c>
      <c r="G536" s="7" t="str">
        <f>IFERROR(__xludf.DUMMYFUNCTION("""COMPUTED_VALUE"""),"No salary data")</f>
        <v>No salary data</v>
      </c>
      <c r="H536" s="7" t="str">
        <f>IFERROR(__xludf.DUMMYFUNCTION("""COMPUTED_VALUE"""),"No salary data")</f>
        <v>No salary data</v>
      </c>
      <c r="I536" s="7" t="str">
        <f>IFERROR(__xludf.DUMMYFUNCTION("""COMPUTED_VALUE"""),"No salary data")</f>
        <v>No salary data</v>
      </c>
      <c r="J536" s="7" t="str">
        <f>IFERROR(__xludf.DUMMYFUNCTION("""COMPUTED_VALUE"""),"Python, Machine Learning, Statistic")</f>
        <v>Python, Machine Learning, Statistic</v>
      </c>
      <c r="K536" s="7" t="str">
        <f>IFERROR(__xludf.DUMMYFUNCTION("""COMPUTED_VALUE"""),"No job type data")</f>
        <v>No job type data</v>
      </c>
      <c r="L536" s="7" t="str">
        <f>IFERROR(__xludf.DUMMYFUNCTION("""COMPUTED_VALUE"""),"None")</f>
        <v>None</v>
      </c>
      <c r="M536" s="7"/>
      <c r="N536" s="7"/>
      <c r="O536" s="7"/>
    </row>
    <row r="537">
      <c r="A537" s="29">
        <f>IFERROR(__xludf.DUMMYFUNCTION("""COMPUTED_VALUE"""),533.0)</f>
        <v>533</v>
      </c>
      <c r="B537" s="7" t="str">
        <f>IFERROR(__xludf.DUMMYFUNCTION("""COMPUTED_VALUE"""),"Vor mehr als 30 Tagen")</f>
        <v>Vor mehr als 30 Tagen</v>
      </c>
      <c r="C537" s="7" t="str">
        <f>IFERROR(__xludf.DUMMYFUNCTION("""COMPUTED_VALUE"""),"Business Intelligence Developer (m/w)")</f>
        <v>Business Intelligence Developer (m/w)</v>
      </c>
      <c r="D537" s="7" t="str">
        <f>IFERROR(__xludf.DUMMYFUNCTION("""COMPUTED_VALUE"""),"Frankfurt am Main")</f>
        <v>Frankfurt am Main</v>
      </c>
      <c r="E537" s="7" t="str">
        <f>IFERROR(__xludf.DUMMYFUNCTION("""COMPUTED_VALUE"""),"DEVPRO24")</f>
        <v>DEVPRO24</v>
      </c>
      <c r="F537" s="7" t="str">
        <f>IFERROR(__xludf.DUMMYFUNCTION("""COMPUTED_VALUE"""),"None")</f>
        <v>None</v>
      </c>
      <c r="G537" s="7" t="str">
        <f>IFERROR(__xludf.DUMMYFUNCTION("""COMPUTED_VALUE"""),"No salary data")</f>
        <v>No salary data</v>
      </c>
      <c r="H537" s="7" t="str">
        <f>IFERROR(__xludf.DUMMYFUNCTION("""COMPUTED_VALUE"""),"No salary data")</f>
        <v>No salary data</v>
      </c>
      <c r="I537" s="7" t="str">
        <f>IFERROR(__xludf.DUMMYFUNCTION("""COMPUTED_VALUE"""),"No salary data")</f>
        <v>No salary data</v>
      </c>
      <c r="J537" s="7" t="str">
        <f>IFERROR(__xludf.DUMMYFUNCTION("""COMPUTED_VALUE"""),"SQL")</f>
        <v>SQL</v>
      </c>
      <c r="K537" s="7" t="str">
        <f>IFERROR(__xludf.DUMMYFUNCTION("""COMPUTED_VALUE"""),"No job type data")</f>
        <v>No job type data</v>
      </c>
      <c r="L537" s="7" t="str">
        <f>IFERROR(__xludf.DUMMYFUNCTION("""COMPUTED_VALUE"""),"None")</f>
        <v>None</v>
      </c>
      <c r="M537" s="7"/>
      <c r="N537" s="7"/>
      <c r="O537" s="7"/>
    </row>
    <row r="538">
      <c r="A538" s="29">
        <f>IFERROR(__xludf.DUMMYFUNCTION("""COMPUTED_VALUE"""),534.0)</f>
        <v>534</v>
      </c>
      <c r="B538" s="7" t="str">
        <f>IFERROR(__xludf.DUMMYFUNCTION("""COMPUTED_VALUE"""),"Vor mehr als 30 Tagen")</f>
        <v>Vor mehr als 30 Tagen</v>
      </c>
      <c r="C538" s="7" t="str">
        <f>IFERROR(__xludf.DUMMYFUNCTION("""COMPUTED_VALUE"""),"Data Engineer (m/f/d)")</f>
        <v>Data Engineer (m/f/d)</v>
      </c>
      <c r="D538" s="7" t="str">
        <f>IFERROR(__xludf.DUMMYFUNCTION("""COMPUTED_VALUE"""),"Köln")</f>
        <v>Köln</v>
      </c>
      <c r="E538" s="7" t="str">
        <f>IFERROR(__xludf.DUMMYFUNCTION("""COMPUTED_VALUE"""),"HRS Group")</f>
        <v>HRS Group</v>
      </c>
      <c r="F538" s="7" t="str">
        <f>IFERROR(__xludf.DUMMYFUNCTION("""COMPUTED_VALUE"""),"None")</f>
        <v>None</v>
      </c>
      <c r="G538" s="7" t="str">
        <f>IFERROR(__xludf.DUMMYFUNCTION("""COMPUTED_VALUE"""),"No salary data")</f>
        <v>No salary data</v>
      </c>
      <c r="H538" s="7" t="str">
        <f>IFERROR(__xludf.DUMMYFUNCTION("""COMPUTED_VALUE"""),"No salary data")</f>
        <v>No salary data</v>
      </c>
      <c r="I538" s="7" t="str">
        <f>IFERROR(__xludf.DUMMYFUNCTION("""COMPUTED_VALUE"""),"No salary data")</f>
        <v>No salary data</v>
      </c>
      <c r="J538" s="7" t="str">
        <f>IFERROR(__xludf.DUMMYFUNCTION("""COMPUTED_VALUE"""),"Python, Excel")</f>
        <v>Python, Excel</v>
      </c>
      <c r="K538" s="7" t="str">
        <f>IFERROR(__xludf.DUMMYFUNCTION("""COMPUTED_VALUE"""),"No job type data")</f>
        <v>No job type data</v>
      </c>
      <c r="L538" s="7" t="str">
        <f>IFERROR(__xludf.DUMMYFUNCTION("""COMPUTED_VALUE"""),"None")</f>
        <v>None</v>
      </c>
      <c r="M538" s="7"/>
      <c r="N538" s="7"/>
      <c r="O538" s="7"/>
    </row>
    <row r="539">
      <c r="A539" s="29">
        <f>IFERROR(__xludf.DUMMYFUNCTION("""COMPUTED_VALUE"""),535.0)</f>
        <v>535</v>
      </c>
      <c r="B539" s="7" t="str">
        <f>IFERROR(__xludf.DUMMYFUNCTION("""COMPUTED_VALUE"""),"Vor mehr als 30 Tagen")</f>
        <v>Vor mehr als 30 Tagen</v>
      </c>
      <c r="C539" s="7" t="str">
        <f>IFERROR(__xludf.DUMMYFUNCTION("""COMPUTED_VALUE"""),"Data Engineer (w/m/d)")</f>
        <v>Data Engineer (w/m/d)</v>
      </c>
      <c r="D539" s="7" t="str">
        <f>IFERROR(__xludf.DUMMYFUNCTION("""COMPUTED_VALUE"""),"Deutschland")</f>
        <v>Deutschland</v>
      </c>
      <c r="E539" s="7" t="str">
        <f>IFERROR(__xludf.DUMMYFUNCTION("""COMPUTED_VALUE"""),"GBI-Genios Deutsche Wirtschaftsdatenbank GmbH")</f>
        <v>GBI-Genios Deutsche Wirtschaftsdatenbank GmbH</v>
      </c>
      <c r="F539" s="7" t="str">
        <f>IFERROR(__xludf.DUMMYFUNCTION("""COMPUTED_VALUE"""),"None")</f>
        <v>None</v>
      </c>
      <c r="G539" s="7" t="str">
        <f>IFERROR(__xludf.DUMMYFUNCTION("""COMPUTED_VALUE"""),"No salary data")</f>
        <v>No salary data</v>
      </c>
      <c r="H539" s="7" t="str">
        <f>IFERROR(__xludf.DUMMYFUNCTION("""COMPUTED_VALUE"""),"No salary data")</f>
        <v>No salary data</v>
      </c>
      <c r="I539" s="7" t="str">
        <f>IFERROR(__xludf.DUMMYFUNCTION("""COMPUTED_VALUE"""),"No salary data")</f>
        <v>No salary data</v>
      </c>
      <c r="J539" s="7" t="str">
        <f>IFERROR(__xludf.DUMMYFUNCTION("""COMPUTED_VALUE"""),"Python")</f>
        <v>Python</v>
      </c>
      <c r="K539" s="7" t="str">
        <f>IFERROR(__xludf.DUMMYFUNCTION("""COMPUTED_VALUE"""),"No job type data")</f>
        <v>No job type data</v>
      </c>
      <c r="L539" s="7" t="str">
        <f>IFERROR(__xludf.DUMMYFUNCTION("""COMPUTED_VALUE"""),"None")</f>
        <v>None</v>
      </c>
      <c r="M539" s="7"/>
      <c r="N539" s="7"/>
      <c r="O539" s="7"/>
    </row>
    <row r="540">
      <c r="A540" s="29">
        <f>IFERROR(__xludf.DUMMYFUNCTION("""COMPUTED_VALUE"""),536.0)</f>
        <v>536</v>
      </c>
      <c r="B540" s="7" t="str">
        <f>IFERROR(__xludf.DUMMYFUNCTION("""COMPUTED_VALUE"""),"Vor mehr als 30 Tagen")</f>
        <v>Vor mehr als 30 Tagen</v>
      </c>
      <c r="C540" s="7" t="str">
        <f>IFERROR(__xludf.DUMMYFUNCTION("""COMPUTED_VALUE"""),"Professional Global Master Data Management *")</f>
        <v>Professional Global Master Data Management *</v>
      </c>
      <c r="D540" s="7" t="str">
        <f>IFERROR(__xludf.DUMMYFUNCTION("""COMPUTED_VALUE"""),"Kassel")</f>
        <v>Kassel</v>
      </c>
      <c r="E540" s="7" t="str">
        <f>IFERROR(__xludf.DUMMYFUNCTION("""COMPUTED_VALUE"""),"SMA Solar Technology AG")</f>
        <v>SMA Solar Technology AG</v>
      </c>
      <c r="F540" s="7" t="str">
        <f>IFERROR(__xludf.DUMMYFUNCTION("""COMPUTED_VALUE"""),"None")</f>
        <v>None</v>
      </c>
      <c r="G540" s="7" t="str">
        <f>IFERROR(__xludf.DUMMYFUNCTION("""COMPUTED_VALUE"""),"No salary data")</f>
        <v>No salary data</v>
      </c>
      <c r="H540" s="7" t="str">
        <f>IFERROR(__xludf.DUMMYFUNCTION("""COMPUTED_VALUE"""),"No salary data")</f>
        <v>No salary data</v>
      </c>
      <c r="I540" s="7" t="str">
        <f>IFERROR(__xludf.DUMMYFUNCTION("""COMPUTED_VALUE"""),"No salary data")</f>
        <v>No salary data</v>
      </c>
      <c r="J540" s="7"/>
      <c r="K540" s="7" t="str">
        <f>IFERROR(__xludf.DUMMYFUNCTION("""COMPUTED_VALUE"""),"No job type data")</f>
        <v>No job type data</v>
      </c>
      <c r="L540" s="7" t="str">
        <f>IFERROR(__xludf.DUMMYFUNCTION("""COMPUTED_VALUE"""),"3,9")</f>
        <v>3,9</v>
      </c>
      <c r="M540" s="7"/>
      <c r="N540" s="7"/>
      <c r="O540" s="7"/>
    </row>
    <row r="541">
      <c r="A541" s="29">
        <f>IFERROR(__xludf.DUMMYFUNCTION("""COMPUTED_VALUE"""),537.0)</f>
        <v>537</v>
      </c>
      <c r="B541" s="7" t="str">
        <f>IFERROR(__xludf.DUMMYFUNCTION("""COMPUTED_VALUE"""),"vor 13 Tagen")</f>
        <v>vor 13 Tagen</v>
      </c>
      <c r="C541" s="7" t="str">
        <f>IFERROR(__xludf.DUMMYFUNCTION("""COMPUTED_VALUE"""),"Computer scientist/data analyst in Single Cell Genomics &amp; Im...")</f>
        <v>Computer scientist/data analyst in Single Cell Genomics &amp; Im...</v>
      </c>
      <c r="D541" s="7" t="str">
        <f>IFERROR(__xludf.DUMMYFUNCTION("""COMPUTED_VALUE"""),"Heidelberg")</f>
        <v>Heidelberg</v>
      </c>
      <c r="E541" s="7" t="str">
        <f>IFERROR(__xludf.DUMMYFUNCTION("""COMPUTED_VALUE"""),"European Molecular Biology Laboratory")</f>
        <v>European Molecular Biology Laboratory</v>
      </c>
      <c r="F541" s="7" t="str">
        <f>IFERROR(__xludf.DUMMYFUNCTION("""COMPUTED_VALUE"""),"None")</f>
        <v>None</v>
      </c>
      <c r="G541" s="7" t="str">
        <f>IFERROR(__xludf.DUMMYFUNCTION("""COMPUTED_VALUE"""),"No salary data")</f>
        <v>No salary data</v>
      </c>
      <c r="H541" s="7" t="str">
        <f>IFERROR(__xludf.DUMMYFUNCTION("""COMPUTED_VALUE"""),"No salary data")</f>
        <v>No salary data</v>
      </c>
      <c r="I541" s="7" t="str">
        <f>IFERROR(__xludf.DUMMYFUNCTION("""COMPUTED_VALUE"""),"No salary data")</f>
        <v>No salary data</v>
      </c>
      <c r="J541" s="7" t="str">
        <f>IFERROR(__xludf.DUMMYFUNCTION("""COMPUTED_VALUE"""),"Excel")</f>
        <v>Excel</v>
      </c>
      <c r="K541" s="7" t="str">
        <f>IFERROR(__xludf.DUMMYFUNCTION("""COMPUTED_VALUE"""),"Contract")</f>
        <v>Contract</v>
      </c>
      <c r="L541" s="7" t="str">
        <f>IFERROR(__xludf.DUMMYFUNCTION("""COMPUTED_VALUE"""),"4,6")</f>
        <v>4,6</v>
      </c>
      <c r="M541" s="7"/>
      <c r="N541" s="7"/>
      <c r="O541" s="7"/>
    </row>
    <row r="542">
      <c r="A542" s="29">
        <f>IFERROR(__xludf.DUMMYFUNCTION("""COMPUTED_VALUE"""),538.0)</f>
        <v>538</v>
      </c>
      <c r="B542" s="7" t="str">
        <f>IFERROR(__xludf.DUMMYFUNCTION("""COMPUTED_VALUE"""),"vor 7 Tagen")</f>
        <v>vor 7 Tagen</v>
      </c>
      <c r="C542" s="7" t="str">
        <f>IFERROR(__xludf.DUMMYFUNCTION("""COMPUTED_VALUE"""),"Database Support Engineer (m/f/d)")</f>
        <v>Database Support Engineer (m/f/d)</v>
      </c>
      <c r="D542" s="7" t="str">
        <f>IFERROR(__xludf.DUMMYFUNCTION("""COMPUTED_VALUE"""),"Nürnberg")</f>
        <v>Nürnberg</v>
      </c>
      <c r="E542" s="7" t="str">
        <f>IFERROR(__xludf.DUMMYFUNCTION("""COMPUTED_VALUE"""),"Exasol")</f>
        <v>Exasol</v>
      </c>
      <c r="F542" s="7" t="str">
        <f>IFERROR(__xludf.DUMMYFUNCTION("""COMPUTED_VALUE"""),"None")</f>
        <v>None</v>
      </c>
      <c r="G542" s="7" t="str">
        <f>IFERROR(__xludf.DUMMYFUNCTION("""COMPUTED_VALUE"""),"No salary data")</f>
        <v>No salary data</v>
      </c>
      <c r="H542" s="7" t="str">
        <f>IFERROR(__xludf.DUMMYFUNCTION("""COMPUTED_VALUE"""),"No salary data")</f>
        <v>No salary data</v>
      </c>
      <c r="I542" s="7" t="str">
        <f>IFERROR(__xludf.DUMMYFUNCTION("""COMPUTED_VALUE"""),"No salary data")</f>
        <v>No salary data</v>
      </c>
      <c r="J542" s="7" t="str">
        <f>IFERROR(__xludf.DUMMYFUNCTION("""COMPUTED_VALUE"""),"Python, SQL")</f>
        <v>Python, SQL</v>
      </c>
      <c r="K542" s="7" t="str">
        <f>IFERROR(__xludf.DUMMYFUNCTION("""COMPUTED_VALUE"""),"Full-Time")</f>
        <v>Full-Time</v>
      </c>
      <c r="L542" s="7" t="str">
        <f>IFERROR(__xludf.DUMMYFUNCTION("""COMPUTED_VALUE"""),"None")</f>
        <v>None</v>
      </c>
      <c r="M542" s="7"/>
      <c r="N542" s="7"/>
      <c r="O542" s="7"/>
    </row>
    <row r="543">
      <c r="A543" s="29">
        <f>IFERROR(__xludf.DUMMYFUNCTION("""COMPUTED_VALUE"""),539.0)</f>
        <v>539</v>
      </c>
      <c r="B543" s="7" t="str">
        <f>IFERROR(__xludf.DUMMYFUNCTION("""COMPUTED_VALUE"""),"Vor mehr als 30 Tagen")</f>
        <v>Vor mehr als 30 Tagen</v>
      </c>
      <c r="C543" s="7" t="str">
        <f>IFERROR(__xludf.DUMMYFUNCTION("""COMPUTED_VALUE"""),"Data Engineer (m/w/d)")</f>
        <v>Data Engineer (m/w/d)</v>
      </c>
      <c r="D543" s="7" t="str">
        <f>IFERROR(__xludf.DUMMYFUNCTION("""COMPUTED_VALUE"""),"Köln")</f>
        <v>Köln</v>
      </c>
      <c r="E543" s="7" t="str">
        <f>IFERROR(__xludf.DUMMYFUNCTION("""COMPUTED_VALUE"""),"Gothaer")</f>
        <v>Gothaer</v>
      </c>
      <c r="F543" s="7" t="str">
        <f>IFERROR(__xludf.DUMMYFUNCTION("""COMPUTED_VALUE"""),"None")</f>
        <v>None</v>
      </c>
      <c r="G543" s="7" t="str">
        <f>IFERROR(__xludf.DUMMYFUNCTION("""COMPUTED_VALUE"""),"No salary data")</f>
        <v>No salary data</v>
      </c>
      <c r="H543" s="7" t="str">
        <f>IFERROR(__xludf.DUMMYFUNCTION("""COMPUTED_VALUE"""),"No salary data")</f>
        <v>No salary data</v>
      </c>
      <c r="I543" s="7" t="str">
        <f>IFERROR(__xludf.DUMMYFUNCTION("""COMPUTED_VALUE"""),"No salary data")</f>
        <v>No salary data</v>
      </c>
      <c r="J543" s="7" t="str">
        <f>IFERROR(__xludf.DUMMYFUNCTION("""COMPUTED_VALUE"""),"SQL")</f>
        <v>SQL</v>
      </c>
      <c r="K543" s="7" t="str">
        <f>IFERROR(__xludf.DUMMYFUNCTION("""COMPUTED_VALUE"""),"No job type data")</f>
        <v>No job type data</v>
      </c>
      <c r="L543" s="7" t="str">
        <f>IFERROR(__xludf.DUMMYFUNCTION("""COMPUTED_VALUE"""),"3,9")</f>
        <v>3,9</v>
      </c>
      <c r="M543" s="7"/>
      <c r="N543" s="7"/>
      <c r="O543" s="7"/>
    </row>
    <row r="544">
      <c r="A544" s="29">
        <f>IFERROR(__xludf.DUMMYFUNCTION("""COMPUTED_VALUE"""),540.0)</f>
        <v>540</v>
      </c>
      <c r="B544" s="7" t="str">
        <f>IFERROR(__xludf.DUMMYFUNCTION("""COMPUTED_VALUE"""),"vor 12 Tagen")</f>
        <v>vor 12 Tagen</v>
      </c>
      <c r="C544" s="7" t="str">
        <f>IFERROR(__xludf.DUMMYFUNCTION("""COMPUTED_VALUE"""),"(Senior) Data Analyst (m/w/d) im Risikocontrolling")</f>
        <v>(Senior) Data Analyst (m/w/d) im Risikocontrolling</v>
      </c>
      <c r="D544" s="7" t="str">
        <f>IFERROR(__xludf.DUMMYFUNCTION("""COMPUTED_VALUE"""),"Deutschland")</f>
        <v>Deutschland</v>
      </c>
      <c r="E544" s="7" t="str">
        <f>IFERROR(__xludf.DUMMYFUNCTION("""COMPUTED_VALUE"""),"Société Générale")</f>
        <v>Société Générale</v>
      </c>
      <c r="F544" s="7" t="str">
        <f>IFERROR(__xludf.DUMMYFUNCTION("""COMPUTED_VALUE"""),"None")</f>
        <v>None</v>
      </c>
      <c r="G544" s="7" t="str">
        <f>IFERROR(__xludf.DUMMYFUNCTION("""COMPUTED_VALUE"""),"No salary data")</f>
        <v>No salary data</v>
      </c>
      <c r="H544" s="7" t="str">
        <f>IFERROR(__xludf.DUMMYFUNCTION("""COMPUTED_VALUE"""),"No salary data")</f>
        <v>No salary data</v>
      </c>
      <c r="I544" s="7" t="str">
        <f>IFERROR(__xludf.DUMMYFUNCTION("""COMPUTED_VALUE"""),"No salary data")</f>
        <v>No salary data</v>
      </c>
      <c r="J544" s="7" t="str">
        <f>IFERROR(__xludf.DUMMYFUNCTION("""COMPUTED_VALUE"""),"Python, SQL, Excel, Git")</f>
        <v>Python, SQL, Excel, Git</v>
      </c>
      <c r="K544" s="7" t="str">
        <f>IFERROR(__xludf.DUMMYFUNCTION("""COMPUTED_VALUE"""),"No job type data")</f>
        <v>No job type data</v>
      </c>
      <c r="L544" s="7" t="str">
        <f>IFERROR(__xludf.DUMMYFUNCTION("""COMPUTED_VALUE"""),"3,9")</f>
        <v>3,9</v>
      </c>
      <c r="M544" s="7"/>
      <c r="N544" s="7"/>
      <c r="O544" s="7"/>
    </row>
    <row r="545">
      <c r="A545" s="29">
        <f>IFERROR(__xludf.DUMMYFUNCTION("""COMPUTED_VALUE"""),541.0)</f>
        <v>541</v>
      </c>
      <c r="B545" s="7" t="str">
        <f>IFERROR(__xludf.DUMMYFUNCTION("""COMPUTED_VALUE"""),"Heute")</f>
        <v>Heute</v>
      </c>
      <c r="C545" s="7" t="str">
        <f>IFERROR(__xludf.DUMMYFUNCTION("""COMPUTED_VALUE"""),"Analyst/Expert Product Configurators (m/f/d)")</f>
        <v>Analyst/Expert Product Configurators (m/f/d)</v>
      </c>
      <c r="D545" s="7" t="str">
        <f>IFERROR(__xludf.DUMMYFUNCTION("""COMPUTED_VALUE"""),"Saarland")</f>
        <v>Saarland</v>
      </c>
      <c r="E545" s="7" t="str">
        <f>IFERROR(__xludf.DUMMYFUNCTION("""COMPUTED_VALUE"""),"Hager Group")</f>
        <v>Hager Group</v>
      </c>
      <c r="F545" s="7" t="str">
        <f>IFERROR(__xludf.DUMMYFUNCTION("""COMPUTED_VALUE"""),"None")</f>
        <v>None</v>
      </c>
      <c r="G545" s="7" t="str">
        <f>IFERROR(__xludf.DUMMYFUNCTION("""COMPUTED_VALUE"""),"No salary data")</f>
        <v>No salary data</v>
      </c>
      <c r="H545" s="7" t="str">
        <f>IFERROR(__xludf.DUMMYFUNCTION("""COMPUTED_VALUE"""),"No salary data")</f>
        <v>No salary data</v>
      </c>
      <c r="I545" s="7" t="str">
        <f>IFERROR(__xludf.DUMMYFUNCTION("""COMPUTED_VALUE"""),"No salary data")</f>
        <v>No salary data</v>
      </c>
      <c r="J545" s="7" t="str">
        <f>IFERROR(__xludf.DUMMYFUNCTION("""COMPUTED_VALUE"""),"Git, Agile")</f>
        <v>Git, Agile</v>
      </c>
      <c r="K545" s="7" t="str">
        <f>IFERROR(__xludf.DUMMYFUNCTION("""COMPUTED_VALUE"""),"Permanent")</f>
        <v>Permanent</v>
      </c>
      <c r="L545" s="7" t="str">
        <f>IFERROR(__xludf.DUMMYFUNCTION("""COMPUTED_VALUE"""),"3,6")</f>
        <v>3,6</v>
      </c>
      <c r="M545" s="7"/>
      <c r="N545" s="7"/>
      <c r="O545" s="7"/>
    </row>
    <row r="546">
      <c r="A546" s="29">
        <f>IFERROR(__xludf.DUMMYFUNCTION("""COMPUTED_VALUE"""),542.0)</f>
        <v>542</v>
      </c>
      <c r="B546" s="7" t="str">
        <f>IFERROR(__xludf.DUMMYFUNCTION("""COMPUTED_VALUE"""),"Vor mehr als 30 Tagen")</f>
        <v>Vor mehr als 30 Tagen</v>
      </c>
      <c r="C546" s="7" t="str">
        <f>IFERROR(__xludf.DUMMYFUNCTION("""COMPUTED_VALUE"""),"IT Business Analyst - DWH (f/m/x)")</f>
        <v>IT Business Analyst - DWH (f/m/x)</v>
      </c>
      <c r="D546" s="7" t="str">
        <f>IFERROR(__xludf.DUMMYFUNCTION("""COMPUTED_VALUE"""),"Deutschland")</f>
        <v>Deutschland</v>
      </c>
      <c r="E546" s="7" t="str">
        <f>IFERROR(__xludf.DUMMYFUNCTION("""COMPUTED_VALUE"""),"Raiffeisen Capital Management")</f>
        <v>Raiffeisen Capital Management</v>
      </c>
      <c r="F546" s="7" t="str">
        <f>IFERROR(__xludf.DUMMYFUNCTION("""COMPUTED_VALUE"""),"48,000 € pro Jahr")</f>
        <v>48,000 € pro Jahr</v>
      </c>
      <c r="G546" s="7">
        <f>IFERROR(__xludf.DUMMYFUNCTION("""COMPUTED_VALUE"""),48000.0)</f>
        <v>48000</v>
      </c>
      <c r="H546" s="7" t="str">
        <f>IFERROR(__xludf.DUMMYFUNCTION("""COMPUTED_VALUE"""),"Jahr")</f>
        <v>Jahr</v>
      </c>
      <c r="I546" s="7">
        <f>IFERROR(__xludf.DUMMYFUNCTION("""COMPUTED_VALUE"""),48000.0)</f>
        <v>48000</v>
      </c>
      <c r="J546" s="7" t="str">
        <f>IFERROR(__xludf.DUMMYFUNCTION("""COMPUTED_VALUE"""),"Git, Agile")</f>
        <v>Git, Agile</v>
      </c>
      <c r="K546" s="7" t="str">
        <f>IFERROR(__xludf.DUMMYFUNCTION("""COMPUTED_VALUE"""),"No job type data")</f>
        <v>No job type data</v>
      </c>
      <c r="L546" s="7" t="str">
        <f>IFERROR(__xludf.DUMMYFUNCTION("""COMPUTED_VALUE"""),"None")</f>
        <v>None</v>
      </c>
      <c r="M546" s="7"/>
      <c r="N546" s="7"/>
      <c r="O546" s="7"/>
    </row>
    <row r="547">
      <c r="A547" s="29">
        <f>IFERROR(__xludf.DUMMYFUNCTION("""COMPUTED_VALUE"""),543.0)</f>
        <v>543</v>
      </c>
      <c r="B547" s="7" t="str">
        <f>IFERROR(__xludf.DUMMYFUNCTION("""COMPUTED_VALUE"""),"vor 13 Tagen")</f>
        <v>vor 13 Tagen</v>
      </c>
      <c r="C547" s="7" t="str">
        <f>IFERROR(__xludf.DUMMYFUNCTION("""COMPUTED_VALUE"""),"Teamleiter Data Engineering &amp; Analytics (m/w/d) Raum Duisbur...")</f>
        <v>Teamleiter Data Engineering &amp; Analytics (m/w/d) Raum Duisbur...</v>
      </c>
      <c r="D547" s="7" t="str">
        <f>IFERROR(__xludf.DUMMYFUNCTION("""COMPUTED_VALUE"""),"Duisburg")</f>
        <v>Duisburg</v>
      </c>
      <c r="E547" s="7" t="str">
        <f>IFERROR(__xludf.DUMMYFUNCTION("""COMPUTED_VALUE"""),"InterJob® GmbH")</f>
        <v>InterJob® GmbH</v>
      </c>
      <c r="F547" s="7" t="str">
        <f>IFERROR(__xludf.DUMMYFUNCTION("""COMPUTED_VALUE"""),"None")</f>
        <v>None</v>
      </c>
      <c r="G547" s="7" t="str">
        <f>IFERROR(__xludf.DUMMYFUNCTION("""COMPUTED_VALUE"""),"No salary data")</f>
        <v>No salary data</v>
      </c>
      <c r="H547" s="7" t="str">
        <f>IFERROR(__xludf.DUMMYFUNCTION("""COMPUTED_VALUE"""),"No salary data")</f>
        <v>No salary data</v>
      </c>
      <c r="I547" s="7" t="str">
        <f>IFERROR(__xludf.DUMMYFUNCTION("""COMPUTED_VALUE"""),"No salary data")</f>
        <v>No salary data</v>
      </c>
      <c r="J547" s="7" t="str">
        <f>IFERROR(__xludf.DUMMYFUNCTION("""COMPUTED_VALUE"""),"Python, Tableau, Agile")</f>
        <v>Python, Tableau, Agile</v>
      </c>
      <c r="K547" s="7" t="str">
        <f>IFERROR(__xludf.DUMMYFUNCTION("""COMPUTED_VALUE"""),"No job type data")</f>
        <v>No job type data</v>
      </c>
      <c r="L547" s="7" t="str">
        <f>IFERROR(__xludf.DUMMYFUNCTION("""COMPUTED_VALUE"""),"None")</f>
        <v>None</v>
      </c>
      <c r="M547" s="7"/>
      <c r="N547" s="7"/>
      <c r="O547" s="7"/>
    </row>
    <row r="548">
      <c r="A548" s="29">
        <f>IFERROR(__xludf.DUMMYFUNCTION("""COMPUTED_VALUE"""),544.0)</f>
        <v>544</v>
      </c>
      <c r="B548" s="7" t="str">
        <f>IFERROR(__xludf.DUMMYFUNCTION("""COMPUTED_VALUE"""),"Vor mehr als 30 Tagen")</f>
        <v>Vor mehr als 30 Tagen</v>
      </c>
      <c r="C548" s="7" t="str">
        <f>IFERROR(__xludf.DUMMYFUNCTION("""COMPUTED_VALUE"""),"Data Analyst Text (m/w/d) mit Geo-Spezialisierung")</f>
        <v>Data Analyst Text (m/w/d) mit Geo-Spezialisierung</v>
      </c>
      <c r="D548" s="7" t="str">
        <f>IFERROR(__xludf.DUMMYFUNCTION("""COMPUTED_VALUE"""),"Hannover")</f>
        <v>Hannover</v>
      </c>
      <c r="E548" s="7" t="str">
        <f>IFERROR(__xludf.DUMMYFUNCTION("""COMPUTED_VALUE"""),"Bundesdruckerei")</f>
        <v>Bundesdruckerei</v>
      </c>
      <c r="F548" s="7" t="str">
        <f>IFERROR(__xludf.DUMMYFUNCTION("""COMPUTED_VALUE"""),"None")</f>
        <v>None</v>
      </c>
      <c r="G548" s="7" t="str">
        <f>IFERROR(__xludf.DUMMYFUNCTION("""COMPUTED_VALUE"""),"No salary data")</f>
        <v>No salary data</v>
      </c>
      <c r="H548" s="7" t="str">
        <f>IFERROR(__xludf.DUMMYFUNCTION("""COMPUTED_VALUE"""),"No salary data")</f>
        <v>No salary data</v>
      </c>
      <c r="I548" s="7" t="str">
        <f>IFERROR(__xludf.DUMMYFUNCTION("""COMPUTED_VALUE"""),"No salary data")</f>
        <v>No salary data</v>
      </c>
      <c r="J548" s="7" t="str">
        <f>IFERROR(__xludf.DUMMYFUNCTION("""COMPUTED_VALUE"""),"Python, Tableau, Git, Agile, Scrum")</f>
        <v>Python, Tableau, Git, Agile, Scrum</v>
      </c>
      <c r="K548" s="7" t="str">
        <f>IFERROR(__xludf.DUMMYFUNCTION("""COMPUTED_VALUE"""),"No job type data")</f>
        <v>No job type data</v>
      </c>
      <c r="L548" s="7" t="str">
        <f>IFERROR(__xludf.DUMMYFUNCTION("""COMPUTED_VALUE"""),"None")</f>
        <v>None</v>
      </c>
      <c r="M548" s="7"/>
      <c r="N548" s="7"/>
      <c r="O548" s="7"/>
    </row>
    <row r="549">
      <c r="A549" s="29">
        <f>IFERROR(__xludf.DUMMYFUNCTION("""COMPUTED_VALUE"""),545.0)</f>
        <v>545</v>
      </c>
      <c r="B549" s="7" t="str">
        <f>IFERROR(__xludf.DUMMYFUNCTION("""COMPUTED_VALUE"""),"Vor mehr als 30 Tagen")</f>
        <v>Vor mehr als 30 Tagen</v>
      </c>
      <c r="C549" s="7" t="str">
        <f>IFERROR(__xludf.DUMMYFUNCTION("""COMPUTED_VALUE"""),"Big Data Analyst (m/w/d)")</f>
        <v>Big Data Analyst (m/w/d)</v>
      </c>
      <c r="D549" s="7" t="str">
        <f>IFERROR(__xludf.DUMMYFUNCTION("""COMPUTED_VALUE"""),"Mannheim")</f>
        <v>Mannheim</v>
      </c>
      <c r="E549" s="7" t="str">
        <f>IFERROR(__xludf.DUMMYFUNCTION("""COMPUTED_VALUE"""),"BAUHAUS")</f>
        <v>BAUHAUS</v>
      </c>
      <c r="F549" s="7" t="str">
        <f>IFERROR(__xludf.DUMMYFUNCTION("""COMPUTED_VALUE"""),"None")</f>
        <v>None</v>
      </c>
      <c r="G549" s="7" t="str">
        <f>IFERROR(__xludf.DUMMYFUNCTION("""COMPUTED_VALUE"""),"No salary data")</f>
        <v>No salary data</v>
      </c>
      <c r="H549" s="7" t="str">
        <f>IFERROR(__xludf.DUMMYFUNCTION("""COMPUTED_VALUE"""),"No salary data")</f>
        <v>No salary data</v>
      </c>
      <c r="I549" s="7" t="str">
        <f>IFERROR(__xludf.DUMMYFUNCTION("""COMPUTED_VALUE"""),"No salary data")</f>
        <v>No salary data</v>
      </c>
      <c r="J549" s="7" t="str">
        <f>IFERROR(__xludf.DUMMYFUNCTION("""COMPUTED_VALUE"""),"Python, Linux")</f>
        <v>Python, Linux</v>
      </c>
      <c r="K549" s="7" t="str">
        <f>IFERROR(__xludf.DUMMYFUNCTION("""COMPUTED_VALUE"""),"No job type data")</f>
        <v>No job type data</v>
      </c>
      <c r="L549" s="7" t="str">
        <f>IFERROR(__xludf.DUMMYFUNCTION("""COMPUTED_VALUE"""),"3,3")</f>
        <v>3,3</v>
      </c>
      <c r="M549" s="7"/>
      <c r="N549" s="7"/>
      <c r="O549" s="7"/>
    </row>
    <row r="550">
      <c r="A550" s="29">
        <f>IFERROR(__xludf.DUMMYFUNCTION("""COMPUTED_VALUE"""),546.0)</f>
        <v>546</v>
      </c>
      <c r="B550" s="7" t="str">
        <f>IFERROR(__xludf.DUMMYFUNCTION("""COMPUTED_VALUE"""),"vor 18 Tagen")</f>
        <v>vor 18 Tagen</v>
      </c>
      <c r="C550" s="7" t="str">
        <f>IFERROR(__xludf.DUMMYFUNCTION("""COMPUTED_VALUE"""),"Data Engineer (m/f/d)")</f>
        <v>Data Engineer (m/f/d)</v>
      </c>
      <c r="D550" s="7" t="str">
        <f>IFERROR(__xludf.DUMMYFUNCTION("""COMPUTED_VALUE"""),"Essen")</f>
        <v>Essen</v>
      </c>
      <c r="E550" s="7" t="str">
        <f>IFERROR(__xludf.DUMMYFUNCTION("""COMPUTED_VALUE"""),"talpasolutions GmbH")</f>
        <v>talpasolutions GmbH</v>
      </c>
      <c r="F550" s="7" t="str">
        <f>IFERROR(__xludf.DUMMYFUNCTION("""COMPUTED_VALUE"""),"None")</f>
        <v>None</v>
      </c>
      <c r="G550" s="7" t="str">
        <f>IFERROR(__xludf.DUMMYFUNCTION("""COMPUTED_VALUE"""),"No salary data")</f>
        <v>No salary data</v>
      </c>
      <c r="H550" s="7" t="str">
        <f>IFERROR(__xludf.DUMMYFUNCTION("""COMPUTED_VALUE"""),"No salary data")</f>
        <v>No salary data</v>
      </c>
      <c r="I550" s="7" t="str">
        <f>IFERROR(__xludf.DUMMYFUNCTION("""COMPUTED_VALUE"""),"No salary data")</f>
        <v>No salary data</v>
      </c>
      <c r="J550" s="7" t="str">
        <f>IFERROR(__xludf.DUMMYFUNCTION("""COMPUTED_VALUE"""),"Python, Machine Learning, Deep Learning, Git, Agile")</f>
        <v>Python, Machine Learning, Deep Learning, Git, Agile</v>
      </c>
      <c r="K550" s="7" t="str">
        <f>IFERROR(__xludf.DUMMYFUNCTION("""COMPUTED_VALUE"""),"No job type data")</f>
        <v>No job type data</v>
      </c>
      <c r="L550" s="7" t="str">
        <f>IFERROR(__xludf.DUMMYFUNCTION("""COMPUTED_VALUE"""),"None")</f>
        <v>None</v>
      </c>
      <c r="M550" s="7"/>
      <c r="N550" s="7"/>
      <c r="O550" s="7"/>
    </row>
    <row r="551">
      <c r="A551" s="29">
        <f>IFERROR(__xludf.DUMMYFUNCTION("""COMPUTED_VALUE"""),547.0)</f>
        <v>547</v>
      </c>
      <c r="B551" s="7" t="str">
        <f>IFERROR(__xludf.DUMMYFUNCTION("""COMPUTED_VALUE"""),"vor 12 Tagen")</f>
        <v>vor 12 Tagen</v>
      </c>
      <c r="C551" s="7" t="str">
        <f>IFERROR(__xludf.DUMMYFUNCTION("""COMPUTED_VALUE"""),"Data Scientist (Marketing Science) (m/w/d)")</f>
        <v>Data Scientist (Marketing Science) (m/w/d)</v>
      </c>
      <c r="D551" s="7" t="str">
        <f>IFERROR(__xludf.DUMMYFUNCTION("""COMPUTED_VALUE"""),"Hamburg")</f>
        <v>Hamburg</v>
      </c>
      <c r="E551" s="7" t="str">
        <f>IFERROR(__xludf.DUMMYFUNCTION("""COMPUTED_VALUE"""),"quantilope GmbH")</f>
        <v>quantilope GmbH</v>
      </c>
      <c r="F551" s="7" t="str">
        <f>IFERROR(__xludf.DUMMYFUNCTION("""COMPUTED_VALUE"""),"None")</f>
        <v>None</v>
      </c>
      <c r="G551" s="7" t="str">
        <f>IFERROR(__xludf.DUMMYFUNCTION("""COMPUTED_VALUE"""),"No salary data")</f>
        <v>No salary data</v>
      </c>
      <c r="H551" s="7" t="str">
        <f>IFERROR(__xludf.DUMMYFUNCTION("""COMPUTED_VALUE"""),"No salary data")</f>
        <v>No salary data</v>
      </c>
      <c r="I551" s="7" t="str">
        <f>IFERROR(__xludf.DUMMYFUNCTION("""COMPUTED_VALUE"""),"No salary data")</f>
        <v>No salary data</v>
      </c>
      <c r="J551" s="7" t="str">
        <f>IFERROR(__xludf.DUMMYFUNCTION("""COMPUTED_VALUE"""),"Python, Git, Agile")</f>
        <v>Python, Git, Agile</v>
      </c>
      <c r="K551" s="7" t="str">
        <f>IFERROR(__xludf.DUMMYFUNCTION("""COMPUTED_VALUE"""),"No job type data")</f>
        <v>No job type data</v>
      </c>
      <c r="L551" s="7" t="str">
        <f>IFERROR(__xludf.DUMMYFUNCTION("""COMPUTED_VALUE"""),"4,5")</f>
        <v>4,5</v>
      </c>
      <c r="M551" s="7"/>
      <c r="N551" s="7"/>
      <c r="O551" s="7"/>
    </row>
    <row r="552">
      <c r="A552" s="29">
        <f>IFERROR(__xludf.DUMMYFUNCTION("""COMPUTED_VALUE"""),548.0)</f>
        <v>548</v>
      </c>
      <c r="B552" s="7" t="str">
        <f>IFERROR(__xludf.DUMMYFUNCTION("""COMPUTED_VALUE"""),"Vor mehr als 30 Tagen")</f>
        <v>Vor mehr als 30 Tagen</v>
      </c>
      <c r="C552" s="7" t="str">
        <f>IFERROR(__xludf.DUMMYFUNCTION("""COMPUTED_VALUE"""),"Data Scientist (f/m/d) for our Demand Prediction Team")</f>
        <v>Data Scientist (f/m/d) for our Demand Prediction Team</v>
      </c>
      <c r="D552" s="7" t="str">
        <f>IFERROR(__xludf.DUMMYFUNCTION("""COMPUTED_VALUE"""),"Hamburg")</f>
        <v>Hamburg</v>
      </c>
      <c r="E552" s="7" t="str">
        <f>IFERROR(__xludf.DUMMYFUNCTION("""COMPUTED_VALUE"""),"MOIA")</f>
        <v>MOIA</v>
      </c>
      <c r="F552" s="7" t="str">
        <f>IFERROR(__xludf.DUMMYFUNCTION("""COMPUTED_VALUE"""),"None")</f>
        <v>None</v>
      </c>
      <c r="G552" s="7" t="str">
        <f>IFERROR(__xludf.DUMMYFUNCTION("""COMPUTED_VALUE"""),"No salary data")</f>
        <v>No salary data</v>
      </c>
      <c r="H552" s="7" t="str">
        <f>IFERROR(__xludf.DUMMYFUNCTION("""COMPUTED_VALUE"""),"No salary data")</f>
        <v>No salary data</v>
      </c>
      <c r="I552" s="7" t="str">
        <f>IFERROR(__xludf.DUMMYFUNCTION("""COMPUTED_VALUE"""),"No salary data")</f>
        <v>No salary data</v>
      </c>
      <c r="J552" s="7" t="str">
        <f>IFERROR(__xludf.DUMMYFUNCTION("""COMPUTED_VALUE"""),"Python, Machine Learning, Statistic")</f>
        <v>Python, Machine Learning, Statistic</v>
      </c>
      <c r="K552" s="7" t="str">
        <f>IFERROR(__xludf.DUMMYFUNCTION("""COMPUTED_VALUE"""),"No job type data")</f>
        <v>No job type data</v>
      </c>
      <c r="L552" s="7" t="str">
        <f>IFERROR(__xludf.DUMMYFUNCTION("""COMPUTED_VALUE"""),"1,5")</f>
        <v>1,5</v>
      </c>
      <c r="M552" s="7"/>
      <c r="N552" s="7"/>
      <c r="O552" s="7"/>
    </row>
    <row r="553">
      <c r="A553" s="29">
        <f>IFERROR(__xludf.DUMMYFUNCTION("""COMPUTED_VALUE"""),549.0)</f>
        <v>549</v>
      </c>
      <c r="B553" s="7" t="str">
        <f>IFERROR(__xludf.DUMMYFUNCTION("""COMPUTED_VALUE"""),"Vor mehr als 30 Tagen")</f>
        <v>Vor mehr als 30 Tagen</v>
      </c>
      <c r="C553" s="7" t="str">
        <f>IFERROR(__xludf.DUMMYFUNCTION("""COMPUTED_VALUE"""),"DATA ANALYST - BIOSTATISTICS (m/f/d)")</f>
        <v>DATA ANALYST - BIOSTATISTICS (m/f/d)</v>
      </c>
      <c r="D553" s="7" t="str">
        <f>IFERROR(__xludf.DUMMYFUNCTION("""COMPUTED_VALUE"""),"Düsseldorf")</f>
        <v>Düsseldorf</v>
      </c>
      <c r="E553" s="7" t="str">
        <f>IFERROR(__xludf.DUMMYFUNCTION("""COMPUTED_VALUE"""),"Harnham")</f>
        <v>Harnham</v>
      </c>
      <c r="F553" s="7" t="str">
        <f>IFERROR(__xludf.DUMMYFUNCTION("""COMPUTED_VALUE"""),"50,000 € - 60,000 € pro Jahr")</f>
        <v>50,000 € - 60,000 € pro Jahr</v>
      </c>
      <c r="G553" s="7">
        <f>IFERROR(__xludf.DUMMYFUNCTION("""COMPUTED_VALUE"""),55000.0)</f>
        <v>55000</v>
      </c>
      <c r="H553" s="7" t="str">
        <f>IFERROR(__xludf.DUMMYFUNCTION("""COMPUTED_VALUE"""),"Jahr")</f>
        <v>Jahr</v>
      </c>
      <c r="I553" s="7">
        <f>IFERROR(__xludf.DUMMYFUNCTION("""COMPUTED_VALUE"""),55000.0)</f>
        <v>55000</v>
      </c>
      <c r="J553" s="7" t="str">
        <f>IFERROR(__xludf.DUMMYFUNCTION("""COMPUTED_VALUE"""),"Python, Excel")</f>
        <v>Python, Excel</v>
      </c>
      <c r="K553" s="7" t="str">
        <f>IFERROR(__xludf.DUMMYFUNCTION("""COMPUTED_VALUE"""),"No job type data")</f>
        <v>No job type data</v>
      </c>
      <c r="L553" s="7" t="str">
        <f>IFERROR(__xludf.DUMMYFUNCTION("""COMPUTED_VALUE"""),"None")</f>
        <v>None</v>
      </c>
      <c r="M553" s="7"/>
      <c r="N553" s="7"/>
      <c r="O553" s="7"/>
    </row>
    <row r="554">
      <c r="A554" s="29">
        <f>IFERROR(__xludf.DUMMYFUNCTION("""COMPUTED_VALUE"""),550.0)</f>
        <v>550</v>
      </c>
      <c r="B554" s="7" t="str">
        <f>IFERROR(__xludf.DUMMYFUNCTION("""COMPUTED_VALUE"""),"vor 12 Tagen")</f>
        <v>vor 12 Tagen</v>
      </c>
      <c r="C554" s="7" t="str">
        <f>IFERROR(__xludf.DUMMYFUNCTION("""COMPUTED_VALUE"""),"(Junior) Pricing Analyst (m/w/d)")</f>
        <v>(Junior) Pricing Analyst (m/w/d)</v>
      </c>
      <c r="D554" s="7" t="str">
        <f>IFERROR(__xludf.DUMMYFUNCTION("""COMPUTED_VALUE"""),"Hamburg")</f>
        <v>Hamburg</v>
      </c>
      <c r="E554" s="7" t="str">
        <f>IFERROR(__xludf.DUMMYFUNCTION("""COMPUTED_VALUE"""),"Axel Springer")</f>
        <v>Axel Springer</v>
      </c>
      <c r="F554" s="7" t="str">
        <f>IFERROR(__xludf.DUMMYFUNCTION("""COMPUTED_VALUE"""),"None")</f>
        <v>None</v>
      </c>
      <c r="G554" s="7" t="str">
        <f>IFERROR(__xludf.DUMMYFUNCTION("""COMPUTED_VALUE"""),"No salary data")</f>
        <v>No salary data</v>
      </c>
      <c r="H554" s="7" t="str">
        <f>IFERROR(__xludf.DUMMYFUNCTION("""COMPUTED_VALUE"""),"No salary data")</f>
        <v>No salary data</v>
      </c>
      <c r="I554" s="7" t="str">
        <f>IFERROR(__xludf.DUMMYFUNCTION("""COMPUTED_VALUE"""),"No salary data")</f>
        <v>No salary data</v>
      </c>
      <c r="J554" s="7" t="str">
        <f>IFERROR(__xludf.DUMMYFUNCTION("""COMPUTED_VALUE"""),"SQL, Excel")</f>
        <v>SQL, Excel</v>
      </c>
      <c r="K554" s="7" t="str">
        <f>IFERROR(__xludf.DUMMYFUNCTION("""COMPUTED_VALUE"""),"No job type data")</f>
        <v>No job type data</v>
      </c>
      <c r="L554" s="7" t="str">
        <f>IFERROR(__xludf.DUMMYFUNCTION("""COMPUTED_VALUE"""),"None")</f>
        <v>None</v>
      </c>
      <c r="M554" s="7"/>
      <c r="N554" s="7"/>
      <c r="O554" s="7"/>
    </row>
    <row r="555">
      <c r="A555" s="29">
        <f>IFERROR(__xludf.DUMMYFUNCTION("""COMPUTED_VALUE"""),551.0)</f>
        <v>551</v>
      </c>
      <c r="B555" s="7" t="str">
        <f>IFERROR(__xludf.DUMMYFUNCTION("""COMPUTED_VALUE"""),"vor 13 Tagen")</f>
        <v>vor 13 Tagen</v>
      </c>
      <c r="C555" s="7" t="str">
        <f>IFERROR(__xludf.DUMMYFUNCTION("""COMPUTED_VALUE"""),"Data Analyst Warenflussmanagement (w/m/d)")</f>
        <v>Data Analyst Warenflussmanagement (w/m/d)</v>
      </c>
      <c r="D555" s="7" t="str">
        <f>IFERROR(__xludf.DUMMYFUNCTION("""COMPUTED_VALUE"""),"Karlsruhe")</f>
        <v>Karlsruhe</v>
      </c>
      <c r="E555" s="7" t="str">
        <f>IFERROR(__xludf.DUMMYFUNCTION("""COMPUTED_VALUE"""),"dm-drogerie markt")</f>
        <v>dm-drogerie markt</v>
      </c>
      <c r="F555" s="7" t="str">
        <f>IFERROR(__xludf.DUMMYFUNCTION("""COMPUTED_VALUE"""),"None")</f>
        <v>None</v>
      </c>
      <c r="G555" s="7" t="str">
        <f>IFERROR(__xludf.DUMMYFUNCTION("""COMPUTED_VALUE"""),"No salary data")</f>
        <v>No salary data</v>
      </c>
      <c r="H555" s="7" t="str">
        <f>IFERROR(__xludf.DUMMYFUNCTION("""COMPUTED_VALUE"""),"No salary data")</f>
        <v>No salary data</v>
      </c>
      <c r="I555" s="7" t="str">
        <f>IFERROR(__xludf.DUMMYFUNCTION("""COMPUTED_VALUE"""),"No salary data")</f>
        <v>No salary data</v>
      </c>
      <c r="J555" s="7" t="str">
        <f>IFERROR(__xludf.DUMMYFUNCTION("""COMPUTED_VALUE"""),"Python, Excel, Machine Learning")</f>
        <v>Python, Excel, Machine Learning</v>
      </c>
      <c r="K555" s="7" t="str">
        <f>IFERROR(__xludf.DUMMYFUNCTION("""COMPUTED_VALUE"""),"No job type data")</f>
        <v>No job type data</v>
      </c>
      <c r="L555" s="7" t="str">
        <f>IFERROR(__xludf.DUMMYFUNCTION("""COMPUTED_VALUE"""),"3,7")</f>
        <v>3,7</v>
      </c>
      <c r="M555" s="7"/>
      <c r="N555" s="7"/>
      <c r="O555" s="7"/>
    </row>
    <row r="556">
      <c r="A556" s="29">
        <f>IFERROR(__xludf.DUMMYFUNCTION("""COMPUTED_VALUE"""),552.0)</f>
        <v>552</v>
      </c>
      <c r="B556" s="7" t="str">
        <f>IFERROR(__xludf.DUMMYFUNCTION("""COMPUTED_VALUE"""),"vor 10 Tagen")</f>
        <v>vor 10 Tagen</v>
      </c>
      <c r="C556" s="7" t="str">
        <f>IFERROR(__xludf.DUMMYFUNCTION("""COMPUTED_VALUE"""),"Data Analyst (m/w/d)")</f>
        <v>Data Analyst (m/w/d)</v>
      </c>
      <c r="D556" s="7" t="str">
        <f>IFERROR(__xludf.DUMMYFUNCTION("""COMPUTED_VALUE"""),"Leipzig")</f>
        <v>Leipzig</v>
      </c>
      <c r="E556" s="7" t="str">
        <f>IFERROR(__xludf.DUMMYFUNCTION("""COMPUTED_VALUE"""),"DeskCenter Solutions AG")</f>
        <v>DeskCenter Solutions AG</v>
      </c>
      <c r="F556" s="7" t="str">
        <f>IFERROR(__xludf.DUMMYFUNCTION("""COMPUTED_VALUE"""),"None")</f>
        <v>None</v>
      </c>
      <c r="G556" s="7" t="str">
        <f>IFERROR(__xludf.DUMMYFUNCTION("""COMPUTED_VALUE"""),"No salary data")</f>
        <v>No salary data</v>
      </c>
      <c r="H556" s="7" t="str">
        <f>IFERROR(__xludf.DUMMYFUNCTION("""COMPUTED_VALUE"""),"No salary data")</f>
        <v>No salary data</v>
      </c>
      <c r="I556" s="7" t="str">
        <f>IFERROR(__xludf.DUMMYFUNCTION("""COMPUTED_VALUE"""),"No salary data")</f>
        <v>No salary data</v>
      </c>
      <c r="J556" s="7"/>
      <c r="K556" s="7" t="str">
        <f>IFERROR(__xludf.DUMMYFUNCTION("""COMPUTED_VALUE"""),"No job type data")</f>
        <v>No job type data</v>
      </c>
      <c r="L556" s="7" t="str">
        <f>IFERROR(__xludf.DUMMYFUNCTION("""COMPUTED_VALUE"""),"None")</f>
        <v>None</v>
      </c>
      <c r="M556" s="7"/>
      <c r="N556" s="7"/>
      <c r="O556" s="7"/>
    </row>
    <row r="557">
      <c r="A557" s="29">
        <f>IFERROR(__xludf.DUMMYFUNCTION("""COMPUTED_VALUE"""),553.0)</f>
        <v>553</v>
      </c>
      <c r="B557" s="7" t="str">
        <f>IFERROR(__xludf.DUMMYFUNCTION("""COMPUTED_VALUE"""),"Vor mehr als 30 Tagen")</f>
        <v>Vor mehr als 30 Tagen</v>
      </c>
      <c r="C557" s="7" t="str">
        <f>IFERROR(__xludf.DUMMYFUNCTION("""COMPUTED_VALUE"""),"Big Data Engineer (m/w/d)")</f>
        <v>Big Data Engineer (m/w/d)</v>
      </c>
      <c r="D557" s="7" t="str">
        <f>IFERROR(__xludf.DUMMYFUNCTION("""COMPUTED_VALUE"""),"Karlsruhe")</f>
        <v>Karlsruhe</v>
      </c>
      <c r="E557" s="7" t="str">
        <f>IFERROR(__xludf.DUMMYFUNCTION("""COMPUTED_VALUE"""),"Sovendus GmbH")</f>
        <v>Sovendus GmbH</v>
      </c>
      <c r="F557" s="7" t="str">
        <f>IFERROR(__xludf.DUMMYFUNCTION("""COMPUTED_VALUE"""),"None")</f>
        <v>None</v>
      </c>
      <c r="G557" s="7" t="str">
        <f>IFERROR(__xludf.DUMMYFUNCTION("""COMPUTED_VALUE"""),"No salary data")</f>
        <v>No salary data</v>
      </c>
      <c r="H557" s="7" t="str">
        <f>IFERROR(__xludf.DUMMYFUNCTION("""COMPUTED_VALUE"""),"No salary data")</f>
        <v>No salary data</v>
      </c>
      <c r="I557" s="7" t="str">
        <f>IFERROR(__xludf.DUMMYFUNCTION("""COMPUTED_VALUE"""),"No salary data")</f>
        <v>No salary data</v>
      </c>
      <c r="J557" s="7" t="str">
        <f>IFERROR(__xludf.DUMMYFUNCTION("""COMPUTED_VALUE"""),"Python, SQL")</f>
        <v>Python, SQL</v>
      </c>
      <c r="K557" s="7" t="str">
        <f>IFERROR(__xludf.DUMMYFUNCTION("""COMPUTED_VALUE"""),"No job type data")</f>
        <v>No job type data</v>
      </c>
      <c r="L557" s="7" t="str">
        <f>IFERROR(__xludf.DUMMYFUNCTION("""COMPUTED_VALUE"""),"4,6")</f>
        <v>4,6</v>
      </c>
      <c r="M557" s="7"/>
      <c r="N557" s="7"/>
      <c r="O557" s="7"/>
    </row>
    <row r="558">
      <c r="A558" s="29">
        <f>IFERROR(__xludf.DUMMYFUNCTION("""COMPUTED_VALUE"""),554.0)</f>
        <v>554</v>
      </c>
      <c r="B558" s="7" t="str">
        <f>IFERROR(__xludf.DUMMYFUNCTION("""COMPUTED_VALUE"""),"vor 13 Tagen")</f>
        <v>vor 13 Tagen</v>
      </c>
      <c r="C558" s="7" t="str">
        <f>IFERROR(__xludf.DUMMYFUNCTION("""COMPUTED_VALUE"""),"Data Scientist (f/m/d)")</f>
        <v>Data Scientist (f/m/d)</v>
      </c>
      <c r="D558" s="7" t="str">
        <f>IFERROR(__xludf.DUMMYFUNCTION("""COMPUTED_VALUE"""),"Hamburg")</f>
        <v>Hamburg</v>
      </c>
      <c r="E558" s="7" t="str">
        <f>IFERROR(__xludf.DUMMYFUNCTION("""COMPUTED_VALUE"""),"European XFEL")</f>
        <v>European XFEL</v>
      </c>
      <c r="F558" s="7" t="str">
        <f>IFERROR(__xludf.DUMMYFUNCTION("""COMPUTED_VALUE"""),"None")</f>
        <v>None</v>
      </c>
      <c r="G558" s="7" t="str">
        <f>IFERROR(__xludf.DUMMYFUNCTION("""COMPUTED_VALUE"""),"No salary data")</f>
        <v>No salary data</v>
      </c>
      <c r="H558" s="7" t="str">
        <f>IFERROR(__xludf.DUMMYFUNCTION("""COMPUTED_VALUE"""),"No salary data")</f>
        <v>No salary data</v>
      </c>
      <c r="I558" s="7" t="str">
        <f>IFERROR(__xludf.DUMMYFUNCTION("""COMPUTED_VALUE"""),"No salary data")</f>
        <v>No salary data</v>
      </c>
      <c r="J558" s="7"/>
      <c r="K558" s="7" t="str">
        <f>IFERROR(__xludf.DUMMYFUNCTION("""COMPUTED_VALUE"""),"No job type data")</f>
        <v>No job type data</v>
      </c>
      <c r="L558" s="7" t="str">
        <f>IFERROR(__xludf.DUMMYFUNCTION("""COMPUTED_VALUE"""),"None")</f>
        <v>None</v>
      </c>
      <c r="M558" s="7"/>
      <c r="N558" s="7"/>
      <c r="O558" s="7"/>
    </row>
    <row r="559">
      <c r="A559" s="29">
        <f>IFERROR(__xludf.DUMMYFUNCTION("""COMPUTED_VALUE"""),555.0)</f>
        <v>555</v>
      </c>
      <c r="B559" s="7" t="str">
        <f>IFERROR(__xludf.DUMMYFUNCTION("""COMPUTED_VALUE"""),"vor 6 Tagen")</f>
        <v>vor 6 Tagen</v>
      </c>
      <c r="C559" s="7" t="str">
        <f>IFERROR(__xludf.DUMMYFUNCTION("""COMPUTED_VALUE"""),"Data Scientist with Deep Learning proficiency (m/w/d)")</f>
        <v>Data Scientist with Deep Learning proficiency (m/w/d)</v>
      </c>
      <c r="D559" s="7" t="str">
        <f>IFERROR(__xludf.DUMMYFUNCTION("""COMPUTED_VALUE"""),"Berlin-Friedrichshain")</f>
        <v>Berlin-Friedrichshain</v>
      </c>
      <c r="E559" s="7" t="str">
        <f>IFERROR(__xludf.DUMMYFUNCTION("""COMPUTED_VALUE"""),"Enpal GmbH")</f>
        <v>Enpal GmbH</v>
      </c>
      <c r="F559" s="7" t="str">
        <f>IFERROR(__xludf.DUMMYFUNCTION("""COMPUTED_VALUE"""),"None")</f>
        <v>None</v>
      </c>
      <c r="G559" s="7" t="str">
        <f>IFERROR(__xludf.DUMMYFUNCTION("""COMPUTED_VALUE"""),"No salary data")</f>
        <v>No salary data</v>
      </c>
      <c r="H559" s="7" t="str">
        <f>IFERROR(__xludf.DUMMYFUNCTION("""COMPUTED_VALUE"""),"No salary data")</f>
        <v>No salary data</v>
      </c>
      <c r="I559" s="7" t="str">
        <f>IFERROR(__xludf.DUMMYFUNCTION("""COMPUTED_VALUE"""),"No salary data")</f>
        <v>No salary data</v>
      </c>
      <c r="J559" s="7" t="str">
        <f>IFERROR(__xludf.DUMMYFUNCTION("""COMPUTED_VALUE"""),"Python, Machine Learning, Deep Learning, Statistic, Git")</f>
        <v>Python, Machine Learning, Deep Learning, Statistic, Git</v>
      </c>
      <c r="K559" s="7" t="str">
        <f>IFERROR(__xludf.DUMMYFUNCTION("""COMPUTED_VALUE"""),"No job type data")</f>
        <v>No job type data</v>
      </c>
      <c r="L559" s="7" t="str">
        <f>IFERROR(__xludf.DUMMYFUNCTION("""COMPUTED_VALUE"""),"3,7")</f>
        <v>3,7</v>
      </c>
      <c r="M559" s="7"/>
      <c r="N559" s="7"/>
      <c r="O559" s="7"/>
    </row>
    <row r="560">
      <c r="A560" s="29">
        <f>IFERROR(__xludf.DUMMYFUNCTION("""COMPUTED_VALUE"""),556.0)</f>
        <v>556</v>
      </c>
      <c r="B560" s="7" t="str">
        <f>IFERROR(__xludf.DUMMYFUNCTION("""COMPUTED_VALUE"""),"Vor mehr als 30 Tagen")</f>
        <v>Vor mehr als 30 Tagen</v>
      </c>
      <c r="C560" s="7" t="str">
        <f>IFERROR(__xludf.DUMMYFUNCTION("""COMPUTED_VALUE"""),"(Junior) Data Engineer mit Fokus auf Industrie 4.0 Beratung...")</f>
        <v>(Junior) Data Engineer mit Fokus auf Industrie 4.0 Beratung...</v>
      </c>
      <c r="D560" s="7" t="str">
        <f>IFERROR(__xludf.DUMMYFUNCTION("""COMPUTED_VALUE"""),"Deutschland")</f>
        <v>Deutschland</v>
      </c>
      <c r="E560" s="7" t="str">
        <f>IFERROR(__xludf.DUMMYFUNCTION("""COMPUTED_VALUE"""),"mayato GmbH")</f>
        <v>mayato GmbH</v>
      </c>
      <c r="F560" s="7" t="str">
        <f>IFERROR(__xludf.DUMMYFUNCTION("""COMPUTED_VALUE"""),"None")</f>
        <v>None</v>
      </c>
      <c r="G560" s="7" t="str">
        <f>IFERROR(__xludf.DUMMYFUNCTION("""COMPUTED_VALUE"""),"No salary data")</f>
        <v>No salary data</v>
      </c>
      <c r="H560" s="7" t="str">
        <f>IFERROR(__xludf.DUMMYFUNCTION("""COMPUTED_VALUE"""),"No salary data")</f>
        <v>No salary data</v>
      </c>
      <c r="I560" s="7" t="str">
        <f>IFERROR(__xludf.DUMMYFUNCTION("""COMPUTED_VALUE"""),"No salary data")</f>
        <v>No salary data</v>
      </c>
      <c r="J560" s="7" t="str">
        <f>IFERROR(__xludf.DUMMYFUNCTION("""COMPUTED_VALUE"""),"Python, SQL")</f>
        <v>Python, SQL</v>
      </c>
      <c r="K560" s="7" t="str">
        <f>IFERROR(__xludf.DUMMYFUNCTION("""COMPUTED_VALUE"""),"No job type data")</f>
        <v>No job type data</v>
      </c>
      <c r="L560" s="7" t="str">
        <f>IFERROR(__xludf.DUMMYFUNCTION("""COMPUTED_VALUE"""),"4,8")</f>
        <v>4,8</v>
      </c>
      <c r="M560" s="7"/>
      <c r="N560" s="7"/>
      <c r="O560" s="7"/>
    </row>
    <row r="561">
      <c r="A561" s="29">
        <f>IFERROR(__xludf.DUMMYFUNCTION("""COMPUTED_VALUE"""),557.0)</f>
        <v>557</v>
      </c>
      <c r="B561" s="7" t="str">
        <f>IFERROR(__xludf.DUMMYFUNCTION("""COMPUTED_VALUE"""),"Vor mehr als 30 Tagen")</f>
        <v>Vor mehr als 30 Tagen</v>
      </c>
      <c r="C561" s="7" t="str">
        <f>IFERROR(__xludf.DUMMYFUNCTION("""COMPUTED_VALUE"""),"VIE Data Analytics / Expert System Consors Finanz – Munich -...")</f>
        <v>VIE Data Analytics / Expert System Consors Finanz – Munich -...</v>
      </c>
      <c r="D561" s="7" t="str">
        <f>IFERROR(__xludf.DUMMYFUNCTION("""COMPUTED_VALUE"""),"München")</f>
        <v>München</v>
      </c>
      <c r="E561" s="7" t="str">
        <f>IFERROR(__xludf.DUMMYFUNCTION("""COMPUTED_VALUE"""),"BNP Paribas")</f>
        <v>BNP Paribas</v>
      </c>
      <c r="F561" s="7" t="str">
        <f>IFERROR(__xludf.DUMMYFUNCTION("""COMPUTED_VALUE"""),"None")</f>
        <v>None</v>
      </c>
      <c r="G561" s="7" t="str">
        <f>IFERROR(__xludf.DUMMYFUNCTION("""COMPUTED_VALUE"""),"No salary data")</f>
        <v>No salary data</v>
      </c>
      <c r="H561" s="7" t="str">
        <f>IFERROR(__xludf.DUMMYFUNCTION("""COMPUTED_VALUE"""),"No salary data")</f>
        <v>No salary data</v>
      </c>
      <c r="I561" s="7" t="str">
        <f>IFERROR(__xludf.DUMMYFUNCTION("""COMPUTED_VALUE"""),"No salary data")</f>
        <v>No salary data</v>
      </c>
      <c r="J561" s="7" t="str">
        <f>IFERROR(__xludf.DUMMYFUNCTION("""COMPUTED_VALUE"""),"Python, Machine Learning, Git, Agile")</f>
        <v>Python, Machine Learning, Git, Agile</v>
      </c>
      <c r="K561" s="7" t="str">
        <f>IFERROR(__xludf.DUMMYFUNCTION("""COMPUTED_VALUE"""),"No job type data")</f>
        <v>No job type data</v>
      </c>
      <c r="L561" s="7" t="str">
        <f>IFERROR(__xludf.DUMMYFUNCTION("""COMPUTED_VALUE"""),"3,9")</f>
        <v>3,9</v>
      </c>
      <c r="M561" s="7"/>
      <c r="N561" s="7"/>
      <c r="O561" s="7"/>
    </row>
    <row r="562">
      <c r="A562" s="29">
        <f>IFERROR(__xludf.DUMMYFUNCTION("""COMPUTED_VALUE"""),558.0)</f>
        <v>558</v>
      </c>
      <c r="B562" s="7" t="str">
        <f>IFERROR(__xludf.DUMMYFUNCTION("""COMPUTED_VALUE"""),"Vor mehr als 30 Tagen")</f>
        <v>Vor mehr als 30 Tagen</v>
      </c>
      <c r="C562" s="7" t="str">
        <f>IFERROR(__xludf.DUMMYFUNCTION("""COMPUTED_VALUE"""),"Datenanalyst/-in BIG DATA / INDUSTRIE 4.0 / Manufacturing An...")</f>
        <v>Datenanalyst/-in BIG DATA / INDUSTRIE 4.0 / Manufacturing An...</v>
      </c>
      <c r="D562" s="7" t="str">
        <f>IFERROR(__xludf.DUMMYFUNCTION("""COMPUTED_VALUE"""),"Köln")</f>
        <v>Köln</v>
      </c>
      <c r="E562" s="7" t="str">
        <f>IFERROR(__xludf.DUMMYFUNCTION("""COMPUTED_VALUE"""),"Flatten IT Consulting")</f>
        <v>Flatten IT Consulting</v>
      </c>
      <c r="F562" s="7" t="str">
        <f>IFERROR(__xludf.DUMMYFUNCTION("""COMPUTED_VALUE"""),"None")</f>
        <v>None</v>
      </c>
      <c r="G562" s="7" t="str">
        <f>IFERROR(__xludf.DUMMYFUNCTION("""COMPUTED_VALUE"""),"No salary data")</f>
        <v>No salary data</v>
      </c>
      <c r="H562" s="7" t="str">
        <f>IFERROR(__xludf.DUMMYFUNCTION("""COMPUTED_VALUE"""),"No salary data")</f>
        <v>No salary data</v>
      </c>
      <c r="I562" s="7" t="str">
        <f>IFERROR(__xludf.DUMMYFUNCTION("""COMPUTED_VALUE"""),"No salary data")</f>
        <v>No salary data</v>
      </c>
      <c r="J562" s="7" t="str">
        <f>IFERROR(__xludf.DUMMYFUNCTION("""COMPUTED_VALUE"""),"Git")</f>
        <v>Git</v>
      </c>
      <c r="K562" s="7" t="str">
        <f>IFERROR(__xludf.DUMMYFUNCTION("""COMPUTED_VALUE"""),"No job type data")</f>
        <v>No job type data</v>
      </c>
      <c r="L562" s="7" t="str">
        <f>IFERROR(__xludf.DUMMYFUNCTION("""COMPUTED_VALUE"""),"None")</f>
        <v>None</v>
      </c>
      <c r="M562" s="7"/>
      <c r="N562" s="7"/>
      <c r="O562" s="7"/>
    </row>
    <row r="563">
      <c r="A563" s="29">
        <f>IFERROR(__xludf.DUMMYFUNCTION("""COMPUTED_VALUE"""),559.0)</f>
        <v>559</v>
      </c>
      <c r="B563" s="7" t="str">
        <f>IFERROR(__xludf.DUMMYFUNCTION("""COMPUTED_VALUE"""),"Vor mehr als 30 Tagen")</f>
        <v>Vor mehr als 30 Tagen</v>
      </c>
      <c r="C563" s="7" t="str">
        <f>IFERROR(__xludf.DUMMYFUNCTION("""COMPUTED_VALUE"""),"Data Engineer")</f>
        <v>Data Engineer</v>
      </c>
      <c r="D563" s="7" t="str">
        <f>IFERROR(__xludf.DUMMYFUNCTION("""COMPUTED_VALUE"""),"Berlin")</f>
        <v>Berlin</v>
      </c>
      <c r="E563" s="7" t="str">
        <f>IFERROR(__xludf.DUMMYFUNCTION("""COMPUTED_VALUE"""),"Friendsurance")</f>
        <v>Friendsurance</v>
      </c>
      <c r="F563" s="7" t="str">
        <f>IFERROR(__xludf.DUMMYFUNCTION("""COMPUTED_VALUE"""),"None")</f>
        <v>None</v>
      </c>
      <c r="G563" s="7" t="str">
        <f>IFERROR(__xludf.DUMMYFUNCTION("""COMPUTED_VALUE"""),"No salary data")</f>
        <v>No salary data</v>
      </c>
      <c r="H563" s="7" t="str">
        <f>IFERROR(__xludf.DUMMYFUNCTION("""COMPUTED_VALUE"""),"No salary data")</f>
        <v>No salary data</v>
      </c>
      <c r="I563" s="7" t="str">
        <f>IFERROR(__xludf.DUMMYFUNCTION("""COMPUTED_VALUE"""),"No salary data")</f>
        <v>No salary data</v>
      </c>
      <c r="J563" s="7" t="str">
        <f>IFERROR(__xludf.DUMMYFUNCTION("""COMPUTED_VALUE"""),"Python, SQL, Machine Learning, Statistic, Git, Agile")</f>
        <v>Python, SQL, Machine Learning, Statistic, Git, Agile</v>
      </c>
      <c r="K563" s="7" t="str">
        <f>IFERROR(__xludf.DUMMYFUNCTION("""COMPUTED_VALUE"""),"Full Time")</f>
        <v>Full Time</v>
      </c>
      <c r="L563" s="7" t="str">
        <f>IFERROR(__xludf.DUMMYFUNCTION("""COMPUTED_VALUE"""),"4,8")</f>
        <v>4,8</v>
      </c>
      <c r="M563" s="7"/>
      <c r="N563" s="7"/>
      <c r="O563" s="7"/>
    </row>
    <row r="564">
      <c r="A564" s="29">
        <f>IFERROR(__xludf.DUMMYFUNCTION("""COMPUTED_VALUE"""),560.0)</f>
        <v>560</v>
      </c>
      <c r="B564" s="7" t="str">
        <f>IFERROR(__xludf.DUMMYFUNCTION("""COMPUTED_VALUE"""),"Vor mehr als 30 Tagen")</f>
        <v>Vor mehr als 30 Tagen</v>
      </c>
      <c r="C564" s="7" t="str">
        <f>IFERROR(__xludf.DUMMYFUNCTION("""COMPUTED_VALUE"""),"Analytics Expert (m/w/d) im Bereich Data Driven Sales &amp; Mark...")</f>
        <v>Analytics Expert (m/w/d) im Bereich Data Driven Sales &amp; Mark...</v>
      </c>
      <c r="D564" s="7" t="str">
        <f>IFERROR(__xludf.DUMMYFUNCTION("""COMPUTED_VALUE"""),"Hamburg")</f>
        <v>Hamburg</v>
      </c>
      <c r="E564" s="7" t="str">
        <f>IFERROR(__xludf.DUMMYFUNCTION("""COMPUTED_VALUE"""),"Datalogue GmbH")</f>
        <v>Datalogue GmbH</v>
      </c>
      <c r="F564" s="7" t="str">
        <f>IFERROR(__xludf.DUMMYFUNCTION("""COMPUTED_VALUE"""),"None")</f>
        <v>None</v>
      </c>
      <c r="G564" s="7" t="str">
        <f>IFERROR(__xludf.DUMMYFUNCTION("""COMPUTED_VALUE"""),"No salary data")</f>
        <v>No salary data</v>
      </c>
      <c r="H564" s="7" t="str">
        <f>IFERROR(__xludf.DUMMYFUNCTION("""COMPUTED_VALUE"""),"No salary data")</f>
        <v>No salary data</v>
      </c>
      <c r="I564" s="7" t="str">
        <f>IFERROR(__xludf.DUMMYFUNCTION("""COMPUTED_VALUE"""),"No salary data")</f>
        <v>No salary data</v>
      </c>
      <c r="J564" s="7" t="str">
        <f>IFERROR(__xludf.DUMMYFUNCTION("""COMPUTED_VALUE"""),"Python")</f>
        <v>Python</v>
      </c>
      <c r="K564" s="7" t="str">
        <f>IFERROR(__xludf.DUMMYFUNCTION("""COMPUTED_VALUE"""),"No job type data")</f>
        <v>No job type data</v>
      </c>
      <c r="L564" s="7" t="str">
        <f>IFERROR(__xludf.DUMMYFUNCTION("""COMPUTED_VALUE"""),"None")</f>
        <v>None</v>
      </c>
      <c r="M564" s="7"/>
      <c r="N564" s="7"/>
      <c r="O564" s="7"/>
    </row>
    <row r="565">
      <c r="A565" s="29">
        <f>IFERROR(__xludf.DUMMYFUNCTION("""COMPUTED_VALUE"""),561.0)</f>
        <v>561</v>
      </c>
      <c r="B565" s="7" t="str">
        <f>IFERROR(__xludf.DUMMYFUNCTION("""COMPUTED_VALUE"""),"Vor mehr als 30 Tagen")</f>
        <v>Vor mehr als 30 Tagen</v>
      </c>
      <c r="C565" s="7" t="str">
        <f>IFERROR(__xludf.DUMMYFUNCTION("""COMPUTED_VALUE"""),"Analytical &amp; Data Visualization Developer (m/w/d)")</f>
        <v>Analytical &amp; Data Visualization Developer (m/w/d)</v>
      </c>
      <c r="D565" s="7" t="str">
        <f>IFERROR(__xludf.DUMMYFUNCTION("""COMPUTED_VALUE"""),"Deutschland")</f>
        <v>Deutschland</v>
      </c>
      <c r="E565" s="7" t="str">
        <f>IFERROR(__xludf.DUMMYFUNCTION("""COMPUTED_VALUE"""),"mayato GmbH")</f>
        <v>mayato GmbH</v>
      </c>
      <c r="F565" s="7" t="str">
        <f>IFERROR(__xludf.DUMMYFUNCTION("""COMPUTED_VALUE"""),"None")</f>
        <v>None</v>
      </c>
      <c r="G565" s="7" t="str">
        <f>IFERROR(__xludf.DUMMYFUNCTION("""COMPUTED_VALUE"""),"No salary data")</f>
        <v>No salary data</v>
      </c>
      <c r="H565" s="7" t="str">
        <f>IFERROR(__xludf.DUMMYFUNCTION("""COMPUTED_VALUE"""),"No salary data")</f>
        <v>No salary data</v>
      </c>
      <c r="I565" s="7" t="str">
        <f>IFERROR(__xludf.DUMMYFUNCTION("""COMPUTED_VALUE"""),"No salary data")</f>
        <v>No salary data</v>
      </c>
      <c r="J565" s="7" t="str">
        <f>IFERROR(__xludf.DUMMYFUNCTION("""COMPUTED_VALUE"""),"Tableau, Git")</f>
        <v>Tableau, Git</v>
      </c>
      <c r="K565" s="7" t="str">
        <f>IFERROR(__xludf.DUMMYFUNCTION("""COMPUTED_VALUE"""),"No job type data")</f>
        <v>No job type data</v>
      </c>
      <c r="L565" s="7" t="str">
        <f>IFERROR(__xludf.DUMMYFUNCTION("""COMPUTED_VALUE"""),"4,8")</f>
        <v>4,8</v>
      </c>
      <c r="M565" s="7"/>
      <c r="N565" s="7"/>
      <c r="O565" s="7"/>
    </row>
    <row r="566">
      <c r="A566" s="29">
        <f>IFERROR(__xludf.DUMMYFUNCTION("""COMPUTED_VALUE"""),562.0)</f>
        <v>562</v>
      </c>
      <c r="B566" s="7" t="str">
        <f>IFERROR(__xludf.DUMMYFUNCTION("""COMPUTED_VALUE"""),"Vor mehr als 30 Tagen")</f>
        <v>Vor mehr als 30 Tagen</v>
      </c>
      <c r="C566" s="7" t="str">
        <f>IFERROR(__xludf.DUMMYFUNCTION("""COMPUTED_VALUE"""),"Praktikum Data Analytics (d/m/w)")</f>
        <v>Praktikum Data Analytics (d/m/w)</v>
      </c>
      <c r="D566" s="7" t="str">
        <f>IFERROR(__xludf.DUMMYFUNCTION("""COMPUTED_VALUE"""),"Berlin")</f>
        <v>Berlin</v>
      </c>
      <c r="E566" s="7" t="str">
        <f>IFERROR(__xludf.DUMMYFUNCTION("""COMPUTED_VALUE"""),"Autohero")</f>
        <v>Autohero</v>
      </c>
      <c r="F566" s="7" t="str">
        <f>IFERROR(__xludf.DUMMYFUNCTION("""COMPUTED_VALUE"""),"None")</f>
        <v>None</v>
      </c>
      <c r="G566" s="7" t="str">
        <f>IFERROR(__xludf.DUMMYFUNCTION("""COMPUTED_VALUE"""),"No salary data")</f>
        <v>No salary data</v>
      </c>
      <c r="H566" s="7" t="str">
        <f>IFERROR(__xludf.DUMMYFUNCTION("""COMPUTED_VALUE"""),"No salary data")</f>
        <v>No salary data</v>
      </c>
      <c r="I566" s="7" t="str">
        <f>IFERROR(__xludf.DUMMYFUNCTION("""COMPUTED_VALUE"""),"No salary data")</f>
        <v>No salary data</v>
      </c>
      <c r="J566" s="7" t="str">
        <f>IFERROR(__xludf.DUMMYFUNCTION("""COMPUTED_VALUE"""),"Python, SQL, Google Sheets, Git")</f>
        <v>Python, SQL, Google Sheets, Git</v>
      </c>
      <c r="K566" s="7" t="str">
        <f>IFERROR(__xludf.DUMMYFUNCTION("""COMPUTED_VALUE"""),"No job type data")</f>
        <v>No job type data</v>
      </c>
      <c r="L566" s="7" t="str">
        <f>IFERROR(__xludf.DUMMYFUNCTION("""COMPUTED_VALUE"""),"None")</f>
        <v>None</v>
      </c>
      <c r="M566" s="7"/>
      <c r="N566" s="7"/>
      <c r="O566" s="7"/>
    </row>
    <row r="567">
      <c r="A567" s="29">
        <f>IFERROR(__xludf.DUMMYFUNCTION("""COMPUTED_VALUE"""),563.0)</f>
        <v>563</v>
      </c>
      <c r="B567" s="7" t="str">
        <f>IFERROR(__xludf.DUMMYFUNCTION("""COMPUTED_VALUE"""),"vor 25 Tagen")</f>
        <v>vor 25 Tagen</v>
      </c>
      <c r="C567" s="7" t="str">
        <f>IFERROR(__xludf.DUMMYFUNCTION("""COMPUTED_VALUE"""),"2218 - Junior Consultant - Real World Analytics")</f>
        <v>2218 - Junior Consultant - Real World Analytics</v>
      </c>
      <c r="D567" s="7" t="str">
        <f>IFERROR(__xludf.DUMMYFUNCTION("""COMPUTED_VALUE"""),"Berlin")</f>
        <v>Berlin</v>
      </c>
      <c r="E567" s="7" t="str">
        <f>IFERROR(__xludf.DUMMYFUNCTION("""COMPUTED_VALUE"""),"Cytel, Ingress-Health HWM GmbH")</f>
        <v>Cytel, Ingress-Health HWM GmbH</v>
      </c>
      <c r="F567" s="7" t="str">
        <f>IFERROR(__xludf.DUMMYFUNCTION("""COMPUTED_VALUE"""),"None")</f>
        <v>None</v>
      </c>
      <c r="G567" s="7" t="str">
        <f>IFERROR(__xludf.DUMMYFUNCTION("""COMPUTED_VALUE"""),"No salary data")</f>
        <v>No salary data</v>
      </c>
      <c r="H567" s="7" t="str">
        <f>IFERROR(__xludf.DUMMYFUNCTION("""COMPUTED_VALUE"""),"No salary data")</f>
        <v>No salary data</v>
      </c>
      <c r="I567" s="7" t="str">
        <f>IFERROR(__xludf.DUMMYFUNCTION("""COMPUTED_VALUE"""),"No salary data")</f>
        <v>No salary data</v>
      </c>
      <c r="J567" s="7" t="str">
        <f>IFERROR(__xludf.DUMMYFUNCTION("""COMPUTED_VALUE"""),"Excel, Statistic")</f>
        <v>Excel, Statistic</v>
      </c>
      <c r="K567" s="7" t="str">
        <f>IFERROR(__xludf.DUMMYFUNCTION("""COMPUTED_VALUE"""),"Contract")</f>
        <v>Contract</v>
      </c>
      <c r="L567" s="7" t="str">
        <f>IFERROR(__xludf.DUMMYFUNCTION("""COMPUTED_VALUE"""),"None")</f>
        <v>None</v>
      </c>
      <c r="M567" s="7"/>
      <c r="N567" s="7"/>
      <c r="O567" s="7"/>
    </row>
    <row r="568">
      <c r="A568" s="29">
        <f>IFERROR(__xludf.DUMMYFUNCTION("""COMPUTED_VALUE"""),564.0)</f>
        <v>564</v>
      </c>
      <c r="B568" s="7" t="str">
        <f>IFERROR(__xludf.DUMMYFUNCTION("""COMPUTED_VALUE"""),"Vor mehr als 30 Tagen")</f>
        <v>Vor mehr als 30 Tagen</v>
      </c>
      <c r="C568" s="7" t="str">
        <f>IFERROR(__xludf.DUMMYFUNCTION("""COMPUTED_VALUE"""),"Data Warehouse Entwickler (m/w/d)")</f>
        <v>Data Warehouse Entwickler (m/w/d)</v>
      </c>
      <c r="D568" s="7" t="str">
        <f>IFERROR(__xludf.DUMMYFUNCTION("""COMPUTED_VALUE"""),"Görgeshausen")</f>
        <v>Görgeshausen</v>
      </c>
      <c r="E568" s="7" t="str">
        <f>IFERROR(__xludf.DUMMYFUNCTION("""COMPUTED_VALUE"""),"XXXLutz")</f>
        <v>XXXLutz</v>
      </c>
      <c r="F568" s="7" t="str">
        <f>IFERROR(__xludf.DUMMYFUNCTION("""COMPUTED_VALUE"""),"None")</f>
        <v>None</v>
      </c>
      <c r="G568" s="7" t="str">
        <f>IFERROR(__xludf.DUMMYFUNCTION("""COMPUTED_VALUE"""),"No salary data")</f>
        <v>No salary data</v>
      </c>
      <c r="H568" s="7" t="str">
        <f>IFERROR(__xludf.DUMMYFUNCTION("""COMPUTED_VALUE"""),"No salary data")</f>
        <v>No salary data</v>
      </c>
      <c r="I568" s="7" t="str">
        <f>IFERROR(__xludf.DUMMYFUNCTION("""COMPUTED_VALUE"""),"No salary data")</f>
        <v>No salary data</v>
      </c>
      <c r="J568" s="7" t="str">
        <f>IFERROR(__xludf.DUMMYFUNCTION("""COMPUTED_VALUE"""),"SQL, Git, Agile")</f>
        <v>SQL, Git, Agile</v>
      </c>
      <c r="K568" s="7" t="str">
        <f>IFERROR(__xludf.DUMMYFUNCTION("""COMPUTED_VALUE"""),"No job type data")</f>
        <v>No job type data</v>
      </c>
      <c r="L568" s="7" t="str">
        <f>IFERROR(__xludf.DUMMYFUNCTION("""COMPUTED_VALUE"""),"2,9")</f>
        <v>2,9</v>
      </c>
      <c r="M568" s="7"/>
      <c r="N568" s="7"/>
      <c r="O568" s="7"/>
    </row>
    <row r="569">
      <c r="A569" s="29">
        <f>IFERROR(__xludf.DUMMYFUNCTION("""COMPUTED_VALUE"""),565.0)</f>
        <v>565</v>
      </c>
      <c r="B569" s="7" t="str">
        <f>IFERROR(__xludf.DUMMYFUNCTION("""COMPUTED_VALUE"""),"Vor mehr als 30 Tagen")</f>
        <v>Vor mehr als 30 Tagen</v>
      </c>
      <c r="C569" s="7" t="str">
        <f>IFERROR(__xludf.DUMMYFUNCTION("""COMPUTED_VALUE"""),"Werkstudent (m/w/d) Data Analytics")</f>
        <v>Werkstudent (m/w/d) Data Analytics</v>
      </c>
      <c r="D569" s="7" t="str">
        <f>IFERROR(__xludf.DUMMYFUNCTION("""COMPUTED_VALUE"""),"Osterholz-Scharmbeck")</f>
        <v>Osterholz-Scharmbeck</v>
      </c>
      <c r="E569" s="7" t="str">
        <f>IFERROR(__xludf.DUMMYFUNCTION("""COMPUTED_VALUE"""),"FAUN Umwelttechnik")</f>
        <v>FAUN Umwelttechnik</v>
      </c>
      <c r="F569" s="7" t="str">
        <f>IFERROR(__xludf.DUMMYFUNCTION("""COMPUTED_VALUE"""),"None")</f>
        <v>None</v>
      </c>
      <c r="G569" s="7" t="str">
        <f>IFERROR(__xludf.DUMMYFUNCTION("""COMPUTED_VALUE"""),"No salary data")</f>
        <v>No salary data</v>
      </c>
      <c r="H569" s="7" t="str">
        <f>IFERROR(__xludf.DUMMYFUNCTION("""COMPUTED_VALUE"""),"No salary data")</f>
        <v>No salary data</v>
      </c>
      <c r="I569" s="7" t="str">
        <f>IFERROR(__xludf.DUMMYFUNCTION("""COMPUTED_VALUE"""),"No salary data")</f>
        <v>No salary data</v>
      </c>
      <c r="J569" s="7" t="str">
        <f>IFERROR(__xludf.DUMMYFUNCTION("""COMPUTED_VALUE"""),"Excel")</f>
        <v>Excel</v>
      </c>
      <c r="K569" s="7" t="str">
        <f>IFERROR(__xludf.DUMMYFUNCTION("""COMPUTED_VALUE"""),"No job type data")</f>
        <v>No job type data</v>
      </c>
      <c r="L569" s="7" t="str">
        <f>IFERROR(__xludf.DUMMYFUNCTION("""COMPUTED_VALUE"""),"None")</f>
        <v>None</v>
      </c>
      <c r="M569" s="7"/>
      <c r="N569" s="7"/>
      <c r="O569" s="7"/>
    </row>
    <row r="570">
      <c r="A570" s="29">
        <f>IFERROR(__xludf.DUMMYFUNCTION("""COMPUTED_VALUE"""),566.0)</f>
        <v>566</v>
      </c>
      <c r="B570" s="7" t="str">
        <f>IFERROR(__xludf.DUMMYFUNCTION("""COMPUTED_VALUE"""),"vor 3 Tagen")</f>
        <v>vor 3 Tagen</v>
      </c>
      <c r="C570" s="7" t="str">
        <f>IFERROR(__xludf.DUMMYFUNCTION("""COMPUTED_VALUE"""),"Process Expert Data Integrity (m/w/d) - ALCOA, cGMP, biophar")</f>
        <v>Process Expert Data Integrity (m/w/d) - ALCOA, cGMP, biophar</v>
      </c>
      <c r="D570" s="7" t="str">
        <f>IFERROR(__xludf.DUMMYFUNCTION("""COMPUTED_VALUE"""),"Biberach an der Riß")</f>
        <v>Biberach an der Riß</v>
      </c>
      <c r="E570" s="7" t="str">
        <f>IFERROR(__xludf.DUMMYFUNCTION("""COMPUTED_VALUE"""),"Modis GmbH")</f>
        <v>Modis GmbH</v>
      </c>
      <c r="F570" s="7" t="str">
        <f>IFERROR(__xludf.DUMMYFUNCTION("""COMPUTED_VALUE"""),"None")</f>
        <v>None</v>
      </c>
      <c r="G570" s="7" t="str">
        <f>IFERROR(__xludf.DUMMYFUNCTION("""COMPUTED_VALUE"""),"No salary data")</f>
        <v>No salary data</v>
      </c>
      <c r="H570" s="7" t="str">
        <f>IFERROR(__xludf.DUMMYFUNCTION("""COMPUTED_VALUE"""),"No salary data")</f>
        <v>No salary data</v>
      </c>
      <c r="I570" s="7" t="str">
        <f>IFERROR(__xludf.DUMMYFUNCTION("""COMPUTED_VALUE"""),"No salary data")</f>
        <v>No salary data</v>
      </c>
      <c r="J570" s="7"/>
      <c r="K570" s="7" t="str">
        <f>IFERROR(__xludf.DUMMYFUNCTION("""COMPUTED_VALUE"""),"No job type data")</f>
        <v>No job type data</v>
      </c>
      <c r="L570" s="7" t="str">
        <f>IFERROR(__xludf.DUMMYFUNCTION("""COMPUTED_VALUE"""),"3,8")</f>
        <v>3,8</v>
      </c>
      <c r="M570" s="7"/>
      <c r="N570" s="7"/>
      <c r="O570" s="7"/>
    </row>
    <row r="571">
      <c r="A571" s="29">
        <f>IFERROR(__xludf.DUMMYFUNCTION("""COMPUTED_VALUE"""),567.0)</f>
        <v>567</v>
      </c>
      <c r="B571" s="7" t="str">
        <f>IFERROR(__xludf.DUMMYFUNCTION("""COMPUTED_VALUE"""),"vor 13 Tagen")</f>
        <v>vor 13 Tagen</v>
      </c>
      <c r="C571" s="7" t="str">
        <f>IFERROR(__xludf.DUMMYFUNCTION("""COMPUTED_VALUE"""),"Data Engineer - DevOps (f/m/d)")</f>
        <v>Data Engineer - DevOps (f/m/d)</v>
      </c>
      <c r="D571" s="7" t="str">
        <f>IFERROR(__xludf.DUMMYFUNCTION("""COMPUTED_VALUE"""),"Hamburg")</f>
        <v>Hamburg</v>
      </c>
      <c r="E571" s="7" t="str">
        <f>IFERROR(__xludf.DUMMYFUNCTION("""COMPUTED_VALUE"""),"Aquila Group")</f>
        <v>Aquila Group</v>
      </c>
      <c r="F571" s="7" t="str">
        <f>IFERROR(__xludf.DUMMYFUNCTION("""COMPUTED_VALUE"""),"None")</f>
        <v>None</v>
      </c>
      <c r="G571" s="7" t="str">
        <f>IFERROR(__xludf.DUMMYFUNCTION("""COMPUTED_VALUE"""),"No salary data")</f>
        <v>No salary data</v>
      </c>
      <c r="H571" s="7" t="str">
        <f>IFERROR(__xludf.DUMMYFUNCTION("""COMPUTED_VALUE"""),"No salary data")</f>
        <v>No salary data</v>
      </c>
      <c r="I571" s="7" t="str">
        <f>IFERROR(__xludf.DUMMYFUNCTION("""COMPUTED_VALUE"""),"No salary data")</f>
        <v>No salary data</v>
      </c>
      <c r="J571" s="7" t="str">
        <f>IFERROR(__xludf.DUMMYFUNCTION("""COMPUTED_VALUE"""),"Python, SQL, Agile")</f>
        <v>Python, SQL, Agile</v>
      </c>
      <c r="K571" s="7" t="str">
        <f>IFERROR(__xludf.DUMMYFUNCTION("""COMPUTED_VALUE"""),"No job type data")</f>
        <v>No job type data</v>
      </c>
      <c r="L571" s="7" t="str">
        <f>IFERROR(__xludf.DUMMYFUNCTION("""COMPUTED_VALUE"""),"None")</f>
        <v>None</v>
      </c>
      <c r="M571" s="7"/>
      <c r="N571" s="7"/>
      <c r="O571" s="7"/>
    </row>
    <row r="572">
      <c r="A572" s="29">
        <f>IFERROR(__xludf.DUMMYFUNCTION("""COMPUTED_VALUE"""),568.0)</f>
        <v>568</v>
      </c>
      <c r="B572" s="7" t="str">
        <f>IFERROR(__xludf.DUMMYFUNCTION("""COMPUTED_VALUE"""),"vor 4 Tagen")</f>
        <v>vor 4 Tagen</v>
      </c>
      <c r="C572" s="7" t="str">
        <f>IFERROR(__xludf.DUMMYFUNCTION("""COMPUTED_VALUE"""),"Trainee Data Science im Transport national (m/w/d)")</f>
        <v>Trainee Data Science im Transport national (m/w/d)</v>
      </c>
      <c r="D572" s="7" t="str">
        <f>IFERROR(__xludf.DUMMYFUNCTION("""COMPUTED_VALUE"""),"Bonn")</f>
        <v>Bonn</v>
      </c>
      <c r="E572" s="7" t="str">
        <f>IFERROR(__xludf.DUMMYFUNCTION("""COMPUTED_VALUE"""),"Post &amp; Paket Deutschland")</f>
        <v>Post &amp; Paket Deutschland</v>
      </c>
      <c r="F572" s="7" t="str">
        <f>IFERROR(__xludf.DUMMYFUNCTION("""COMPUTED_VALUE"""),"None")</f>
        <v>None</v>
      </c>
      <c r="G572" s="7" t="str">
        <f>IFERROR(__xludf.DUMMYFUNCTION("""COMPUTED_VALUE"""),"No salary data")</f>
        <v>No salary data</v>
      </c>
      <c r="H572" s="7" t="str">
        <f>IFERROR(__xludf.DUMMYFUNCTION("""COMPUTED_VALUE"""),"No salary data")</f>
        <v>No salary data</v>
      </c>
      <c r="I572" s="7" t="str">
        <f>IFERROR(__xludf.DUMMYFUNCTION("""COMPUTED_VALUE"""),"No salary data")</f>
        <v>No salary data</v>
      </c>
      <c r="J572" s="7" t="str">
        <f>IFERROR(__xludf.DUMMYFUNCTION("""COMPUTED_VALUE"""),"Python, SQL, Git")</f>
        <v>Python, SQL, Git</v>
      </c>
      <c r="K572" s="7" t="str">
        <f>IFERROR(__xludf.DUMMYFUNCTION("""COMPUTED_VALUE"""),"No job type data")</f>
        <v>No job type data</v>
      </c>
      <c r="L572" s="7" t="str">
        <f>IFERROR(__xludf.DUMMYFUNCTION("""COMPUTED_VALUE"""),"None")</f>
        <v>None</v>
      </c>
      <c r="M572" s="7"/>
      <c r="N572" s="7"/>
      <c r="O572" s="7"/>
    </row>
    <row r="573">
      <c r="A573" s="29">
        <f>IFERROR(__xludf.DUMMYFUNCTION("""COMPUTED_VALUE"""),569.0)</f>
        <v>569</v>
      </c>
      <c r="B573" s="7" t="str">
        <f>IFERROR(__xludf.DUMMYFUNCTION("""COMPUTED_VALUE"""),"Vor mehr als 30 Tagen")</f>
        <v>Vor mehr als 30 Tagen</v>
      </c>
      <c r="C573" s="7" t="str">
        <f>IFERROR(__xludf.DUMMYFUNCTION("""COMPUTED_VALUE"""),"Technology Consultant (w/m/d) Data Science &amp; Analytics")</f>
        <v>Technology Consultant (w/m/d) Data Science &amp; Analytics</v>
      </c>
      <c r="D573" s="7" t="str">
        <f>IFERROR(__xludf.DUMMYFUNCTION("""COMPUTED_VALUE"""),"Hamburg")</f>
        <v>Hamburg</v>
      </c>
      <c r="E573" s="7" t="str">
        <f>IFERROR(__xludf.DUMMYFUNCTION("""COMPUTED_VALUE"""),"Campana &amp; Schott Business Services GmbH")</f>
        <v>Campana &amp; Schott Business Services GmbH</v>
      </c>
      <c r="F573" s="7" t="str">
        <f>IFERROR(__xludf.DUMMYFUNCTION("""COMPUTED_VALUE"""),"None")</f>
        <v>None</v>
      </c>
      <c r="G573" s="7" t="str">
        <f>IFERROR(__xludf.DUMMYFUNCTION("""COMPUTED_VALUE"""),"No salary data")</f>
        <v>No salary data</v>
      </c>
      <c r="H573" s="7" t="str">
        <f>IFERROR(__xludf.DUMMYFUNCTION("""COMPUTED_VALUE"""),"No salary data")</f>
        <v>No salary data</v>
      </c>
      <c r="I573" s="7" t="str">
        <f>IFERROR(__xludf.DUMMYFUNCTION("""COMPUTED_VALUE"""),"No salary data")</f>
        <v>No salary data</v>
      </c>
      <c r="J573" s="7" t="str">
        <f>IFERROR(__xludf.DUMMYFUNCTION("""COMPUTED_VALUE"""),"Python, Excel, Machine Learning, Git")</f>
        <v>Python, Excel, Machine Learning, Git</v>
      </c>
      <c r="K573" s="7" t="str">
        <f>IFERROR(__xludf.DUMMYFUNCTION("""COMPUTED_VALUE"""),"No job type data")</f>
        <v>No job type data</v>
      </c>
      <c r="L573" s="7" t="str">
        <f>IFERROR(__xludf.DUMMYFUNCTION("""COMPUTED_VALUE"""),"None")</f>
        <v>None</v>
      </c>
      <c r="M573" s="7"/>
      <c r="N573" s="7"/>
      <c r="O573" s="7"/>
    </row>
    <row r="574">
      <c r="A574" s="29">
        <f>IFERROR(__xludf.DUMMYFUNCTION("""COMPUTED_VALUE"""),570.0)</f>
        <v>570</v>
      </c>
      <c r="B574" s="7" t="str">
        <f>IFERROR(__xludf.DUMMYFUNCTION("""COMPUTED_VALUE"""),"Vor mehr als 30 Tagen")</f>
        <v>Vor mehr als 30 Tagen</v>
      </c>
      <c r="C574" s="7" t="str">
        <f>IFERROR(__xludf.DUMMYFUNCTION("""COMPUTED_VALUE"""),"Data Scientist Praktikant/in")</f>
        <v>Data Scientist Praktikant/in</v>
      </c>
      <c r="D574" s="7" t="str">
        <f>IFERROR(__xludf.DUMMYFUNCTION("""COMPUTED_VALUE"""),"Berlin")</f>
        <v>Berlin</v>
      </c>
      <c r="E574" s="7" t="str">
        <f>IFERROR(__xludf.DUMMYFUNCTION("""COMPUTED_VALUE"""),"Virtenio GmbH")</f>
        <v>Virtenio GmbH</v>
      </c>
      <c r="F574" s="7" t="str">
        <f>IFERROR(__xludf.DUMMYFUNCTION("""COMPUTED_VALUE"""),"None")</f>
        <v>None</v>
      </c>
      <c r="G574" s="7" t="str">
        <f>IFERROR(__xludf.DUMMYFUNCTION("""COMPUTED_VALUE"""),"No salary data")</f>
        <v>No salary data</v>
      </c>
      <c r="H574" s="7" t="str">
        <f>IFERROR(__xludf.DUMMYFUNCTION("""COMPUTED_VALUE"""),"No salary data")</f>
        <v>No salary data</v>
      </c>
      <c r="I574" s="7" t="str">
        <f>IFERROR(__xludf.DUMMYFUNCTION("""COMPUTED_VALUE"""),"No salary data")</f>
        <v>No salary data</v>
      </c>
      <c r="J574" s="7" t="str">
        <f>IFERROR(__xludf.DUMMYFUNCTION("""COMPUTED_VALUE"""),"Python, SQL, Machine Learning")</f>
        <v>Python, SQL, Machine Learning</v>
      </c>
      <c r="K574" s="7" t="str">
        <f>IFERROR(__xludf.DUMMYFUNCTION("""COMPUTED_VALUE"""),"No job type data")</f>
        <v>No job type data</v>
      </c>
      <c r="L574" s="7" t="str">
        <f>IFERROR(__xludf.DUMMYFUNCTION("""COMPUTED_VALUE"""),"None")</f>
        <v>None</v>
      </c>
      <c r="M574" s="7"/>
      <c r="N574" s="7"/>
      <c r="O574" s="7"/>
    </row>
    <row r="575">
      <c r="A575" s="29">
        <f>IFERROR(__xludf.DUMMYFUNCTION("""COMPUTED_VALUE"""),571.0)</f>
        <v>571</v>
      </c>
      <c r="B575" s="7" t="str">
        <f>IFERROR(__xludf.DUMMYFUNCTION("""COMPUTED_VALUE"""),"vor 17 Tagen")</f>
        <v>vor 17 Tagen</v>
      </c>
      <c r="C575" s="7" t="str">
        <f>IFERROR(__xludf.DUMMYFUNCTION("""COMPUTED_VALUE"""),"Data Scientist / Data Analyst (f/m/d) Customer Service")</f>
        <v>Data Scientist / Data Analyst (f/m/d) Customer Service</v>
      </c>
      <c r="D575" s="7" t="str">
        <f>IFERROR(__xludf.DUMMYFUNCTION("""COMPUTED_VALUE"""),"Berlin")</f>
        <v>Berlin</v>
      </c>
      <c r="E575" s="7" t="str">
        <f>IFERROR(__xludf.DUMMYFUNCTION("""COMPUTED_VALUE"""),"SHARE NOW")</f>
        <v>SHARE NOW</v>
      </c>
      <c r="F575" s="7" t="str">
        <f>IFERROR(__xludf.DUMMYFUNCTION("""COMPUTED_VALUE"""),"None")</f>
        <v>None</v>
      </c>
      <c r="G575" s="7" t="str">
        <f>IFERROR(__xludf.DUMMYFUNCTION("""COMPUTED_VALUE"""),"No salary data")</f>
        <v>No salary data</v>
      </c>
      <c r="H575" s="7" t="str">
        <f>IFERROR(__xludf.DUMMYFUNCTION("""COMPUTED_VALUE"""),"No salary data")</f>
        <v>No salary data</v>
      </c>
      <c r="I575" s="7" t="str">
        <f>IFERROR(__xludf.DUMMYFUNCTION("""COMPUTED_VALUE"""),"No salary data")</f>
        <v>No salary data</v>
      </c>
      <c r="J575" s="7" t="str">
        <f>IFERROR(__xludf.DUMMYFUNCTION("""COMPUTED_VALUE"""),"Python, SQL, Tableau, Excel, Agile")</f>
        <v>Python, SQL, Tableau, Excel, Agile</v>
      </c>
      <c r="K575" s="7" t="str">
        <f>IFERROR(__xludf.DUMMYFUNCTION("""COMPUTED_VALUE"""),"No job type data")</f>
        <v>No job type data</v>
      </c>
      <c r="L575" s="7" t="str">
        <f>IFERROR(__xludf.DUMMYFUNCTION("""COMPUTED_VALUE"""),"None")</f>
        <v>None</v>
      </c>
      <c r="M575" s="7"/>
      <c r="N575" s="7"/>
      <c r="O575" s="7"/>
    </row>
    <row r="576">
      <c r="A576" s="29">
        <f>IFERROR(__xludf.DUMMYFUNCTION("""COMPUTED_VALUE"""),572.0)</f>
        <v>572</v>
      </c>
      <c r="B576" s="7" t="str">
        <f>IFERROR(__xludf.DUMMYFUNCTION("""COMPUTED_VALUE"""),"vor 4 Tagen")</f>
        <v>vor 4 Tagen</v>
      </c>
      <c r="C576" s="7" t="str">
        <f>IFERROR(__xludf.DUMMYFUNCTION("""COMPUTED_VALUE"""),"Research Scientist (m/f/d) - Intellectual Property Analyst")</f>
        <v>Research Scientist (m/f/d) - Intellectual Property Analyst</v>
      </c>
      <c r="D576" s="7" t="str">
        <f>IFERROR(__xludf.DUMMYFUNCTION("""COMPUTED_VALUE"""),"Göttingen")</f>
        <v>Göttingen</v>
      </c>
      <c r="E576" s="7" t="str">
        <f>IFERROR(__xludf.DUMMYFUNCTION("""COMPUTED_VALUE"""),"Evotec")</f>
        <v>Evotec</v>
      </c>
      <c r="F576" s="7" t="str">
        <f>IFERROR(__xludf.DUMMYFUNCTION("""COMPUTED_VALUE"""),"None")</f>
        <v>None</v>
      </c>
      <c r="G576" s="7" t="str">
        <f>IFERROR(__xludf.DUMMYFUNCTION("""COMPUTED_VALUE"""),"No salary data")</f>
        <v>No salary data</v>
      </c>
      <c r="H576" s="7" t="str">
        <f>IFERROR(__xludf.DUMMYFUNCTION("""COMPUTED_VALUE"""),"No salary data")</f>
        <v>No salary data</v>
      </c>
      <c r="I576" s="7" t="str">
        <f>IFERROR(__xludf.DUMMYFUNCTION("""COMPUTED_VALUE"""),"No salary data")</f>
        <v>No salary data</v>
      </c>
      <c r="J576" s="7"/>
      <c r="K576" s="7" t="str">
        <f>IFERROR(__xludf.DUMMYFUNCTION("""COMPUTED_VALUE"""),"Permanent")</f>
        <v>Permanent</v>
      </c>
      <c r="L576" s="7" t="str">
        <f>IFERROR(__xludf.DUMMYFUNCTION("""COMPUTED_VALUE"""),"None")</f>
        <v>None</v>
      </c>
      <c r="M576" s="7"/>
      <c r="N576" s="7"/>
      <c r="O576" s="7"/>
    </row>
    <row r="577">
      <c r="A577" s="29">
        <f>IFERROR(__xludf.DUMMYFUNCTION("""COMPUTED_VALUE"""),573.0)</f>
        <v>573</v>
      </c>
      <c r="B577" s="7" t="str">
        <f>IFERROR(__xludf.DUMMYFUNCTION("""COMPUTED_VALUE"""),"Vor mehr als 30 Tagen")</f>
        <v>Vor mehr als 30 Tagen</v>
      </c>
      <c r="C577" s="7" t="str">
        <f>IFERROR(__xludf.DUMMYFUNCTION("""COMPUTED_VALUE"""),"Artificial Intelligence Expert (m/f/d)")</f>
        <v>Artificial Intelligence Expert (m/f/d)</v>
      </c>
      <c r="D577" s="7" t="str">
        <f>IFERROR(__xludf.DUMMYFUNCTION("""COMPUTED_VALUE"""),"Berlin")</f>
        <v>Berlin</v>
      </c>
      <c r="E577" s="7" t="str">
        <f>IFERROR(__xludf.DUMMYFUNCTION("""COMPUTED_VALUE"""),"CENTOGENE GMBH")</f>
        <v>CENTOGENE GMBH</v>
      </c>
      <c r="F577" s="7" t="str">
        <f>IFERROR(__xludf.DUMMYFUNCTION("""COMPUTED_VALUE"""),"None")</f>
        <v>None</v>
      </c>
      <c r="G577" s="7" t="str">
        <f>IFERROR(__xludf.DUMMYFUNCTION("""COMPUTED_VALUE"""),"No salary data")</f>
        <v>No salary data</v>
      </c>
      <c r="H577" s="7" t="str">
        <f>IFERROR(__xludf.DUMMYFUNCTION("""COMPUTED_VALUE"""),"No salary data")</f>
        <v>No salary data</v>
      </c>
      <c r="I577" s="7" t="str">
        <f>IFERROR(__xludf.DUMMYFUNCTION("""COMPUTED_VALUE"""),"No salary data")</f>
        <v>No salary data</v>
      </c>
      <c r="J577" s="7" t="str">
        <f>IFERROR(__xludf.DUMMYFUNCTION("""COMPUTED_VALUE"""),"Excel")</f>
        <v>Excel</v>
      </c>
      <c r="K577" s="7" t="str">
        <f>IFERROR(__xludf.DUMMYFUNCTION("""COMPUTED_VALUE"""),"No job type data")</f>
        <v>No job type data</v>
      </c>
      <c r="L577" s="7" t="str">
        <f>IFERROR(__xludf.DUMMYFUNCTION("""COMPUTED_VALUE"""),"None")</f>
        <v>None</v>
      </c>
      <c r="M577" s="7"/>
      <c r="N577" s="7"/>
      <c r="O577" s="7"/>
    </row>
    <row r="578">
      <c r="A578" s="29">
        <f>IFERROR(__xludf.DUMMYFUNCTION("""COMPUTED_VALUE"""),574.0)</f>
        <v>574</v>
      </c>
      <c r="B578" s="7" t="str">
        <f>IFERROR(__xludf.DUMMYFUNCTION("""COMPUTED_VALUE"""),"Vor mehr als 30 Tagen")</f>
        <v>Vor mehr als 30 Tagen</v>
      </c>
      <c r="C578" s="7" t="str">
        <f>IFERROR(__xludf.DUMMYFUNCTION("""COMPUTED_VALUE"""),"Data Warehouse / ETL-Entwickler (m/w/d)")</f>
        <v>Data Warehouse / ETL-Entwickler (m/w/d)</v>
      </c>
      <c r="D578" s="7" t="str">
        <f>IFERROR(__xludf.DUMMYFUNCTION("""COMPUTED_VALUE"""),"Löhne")</f>
        <v>Löhne</v>
      </c>
      <c r="E578" s="7" t="str">
        <f>IFERROR(__xludf.DUMMYFUNCTION("""COMPUTED_VALUE"""),"Hermes Einrichtungs Service GmbH &amp; Co. KG")</f>
        <v>Hermes Einrichtungs Service GmbH &amp; Co. KG</v>
      </c>
      <c r="F578" s="7" t="str">
        <f>IFERROR(__xludf.DUMMYFUNCTION("""COMPUTED_VALUE"""),"None")</f>
        <v>None</v>
      </c>
      <c r="G578" s="7" t="str">
        <f>IFERROR(__xludf.DUMMYFUNCTION("""COMPUTED_VALUE"""),"No salary data")</f>
        <v>No salary data</v>
      </c>
      <c r="H578" s="7" t="str">
        <f>IFERROR(__xludf.DUMMYFUNCTION("""COMPUTED_VALUE"""),"No salary data")</f>
        <v>No salary data</v>
      </c>
      <c r="I578" s="7" t="str">
        <f>IFERROR(__xludf.DUMMYFUNCTION("""COMPUTED_VALUE"""),"No salary data")</f>
        <v>No salary data</v>
      </c>
      <c r="J578" s="7" t="str">
        <f>IFERROR(__xludf.DUMMYFUNCTION("""COMPUTED_VALUE"""),"SQL")</f>
        <v>SQL</v>
      </c>
      <c r="K578" s="7" t="str">
        <f>IFERROR(__xludf.DUMMYFUNCTION("""COMPUTED_VALUE"""),"No job type data")</f>
        <v>No job type data</v>
      </c>
      <c r="L578" s="7" t="str">
        <f>IFERROR(__xludf.DUMMYFUNCTION("""COMPUTED_VALUE"""),"None")</f>
        <v>None</v>
      </c>
      <c r="M578" s="7"/>
      <c r="N578" s="7"/>
      <c r="O578" s="7"/>
    </row>
    <row r="579">
      <c r="A579" s="29">
        <f>IFERROR(__xludf.DUMMYFUNCTION("""COMPUTED_VALUE"""),575.0)</f>
        <v>575</v>
      </c>
      <c r="B579" s="7" t="str">
        <f>IFERROR(__xludf.DUMMYFUNCTION("""COMPUTED_VALUE"""),"Vor mehr als 30 Tagen")</f>
        <v>Vor mehr als 30 Tagen</v>
      </c>
      <c r="C579" s="7" t="str">
        <f>IFERROR(__xludf.DUMMYFUNCTION("""COMPUTED_VALUE"""),"Data Engineer (m/w/d)")</f>
        <v>Data Engineer (m/w/d)</v>
      </c>
      <c r="D579" s="7" t="str">
        <f>IFERROR(__xludf.DUMMYFUNCTION("""COMPUTED_VALUE"""),"Deutschland")</f>
        <v>Deutschland</v>
      </c>
      <c r="E579" s="7" t="str">
        <f>IFERROR(__xludf.DUMMYFUNCTION("""COMPUTED_VALUE"""),"TecAlliance")</f>
        <v>TecAlliance</v>
      </c>
      <c r="F579" s="7" t="str">
        <f>IFERROR(__xludf.DUMMYFUNCTION("""COMPUTED_VALUE"""),"None")</f>
        <v>None</v>
      </c>
      <c r="G579" s="7" t="str">
        <f>IFERROR(__xludf.DUMMYFUNCTION("""COMPUTED_VALUE"""),"No salary data")</f>
        <v>No salary data</v>
      </c>
      <c r="H579" s="7" t="str">
        <f>IFERROR(__xludf.DUMMYFUNCTION("""COMPUTED_VALUE"""),"No salary data")</f>
        <v>No salary data</v>
      </c>
      <c r="I579" s="7" t="str">
        <f>IFERROR(__xludf.DUMMYFUNCTION("""COMPUTED_VALUE"""),"No salary data")</f>
        <v>No salary data</v>
      </c>
      <c r="J579" s="7" t="str">
        <f>IFERROR(__xludf.DUMMYFUNCTION("""COMPUTED_VALUE"""),"Python, SQL, Git, Agile")</f>
        <v>Python, SQL, Git, Agile</v>
      </c>
      <c r="K579" s="7" t="str">
        <f>IFERROR(__xludf.DUMMYFUNCTION("""COMPUTED_VALUE"""),"No job type data")</f>
        <v>No job type data</v>
      </c>
      <c r="L579" s="7" t="str">
        <f>IFERROR(__xludf.DUMMYFUNCTION("""COMPUTED_VALUE"""),"None")</f>
        <v>None</v>
      </c>
      <c r="M579" s="7"/>
      <c r="N579" s="7"/>
      <c r="O579" s="7"/>
    </row>
    <row r="580">
      <c r="A580" s="29">
        <f>IFERROR(__xludf.DUMMYFUNCTION("""COMPUTED_VALUE"""),576.0)</f>
        <v>576</v>
      </c>
      <c r="B580" s="7" t="str">
        <f>IFERROR(__xludf.DUMMYFUNCTION("""COMPUTED_VALUE"""),"vor 24 Tagen")</f>
        <v>vor 24 Tagen</v>
      </c>
      <c r="C580" s="7" t="str">
        <f>IFERROR(__xludf.DUMMYFUNCTION("""COMPUTED_VALUE"""),"Data Scientist - 360° (m/w/d)")</f>
        <v>Data Scientist - 360° (m/w/d)</v>
      </c>
      <c r="D580" s="7" t="str">
        <f>IFERROR(__xludf.DUMMYFUNCTION("""COMPUTED_VALUE"""),"Hamburg")</f>
        <v>Hamburg</v>
      </c>
      <c r="E580" s="7" t="str">
        <f>IFERROR(__xludf.DUMMYFUNCTION("""COMPUTED_VALUE"""),"ABOUT YOU GmbH")</f>
        <v>ABOUT YOU GmbH</v>
      </c>
      <c r="F580" s="7" t="str">
        <f>IFERROR(__xludf.DUMMYFUNCTION("""COMPUTED_VALUE"""),"None")</f>
        <v>None</v>
      </c>
      <c r="G580" s="7" t="str">
        <f>IFERROR(__xludf.DUMMYFUNCTION("""COMPUTED_VALUE"""),"No salary data")</f>
        <v>No salary data</v>
      </c>
      <c r="H580" s="7" t="str">
        <f>IFERROR(__xludf.DUMMYFUNCTION("""COMPUTED_VALUE"""),"No salary data")</f>
        <v>No salary data</v>
      </c>
      <c r="I580" s="7" t="str">
        <f>IFERROR(__xludf.DUMMYFUNCTION("""COMPUTED_VALUE"""),"No salary data")</f>
        <v>No salary data</v>
      </c>
      <c r="J580" s="7" t="str">
        <f>IFERROR(__xludf.DUMMYFUNCTION("""COMPUTED_VALUE"""),"Python, SQL, Machine Learning, Linux, Agile")</f>
        <v>Python, SQL, Machine Learning, Linux, Agile</v>
      </c>
      <c r="K580" s="7" t="str">
        <f>IFERROR(__xludf.DUMMYFUNCTION("""COMPUTED_VALUE"""),"No job type data")</f>
        <v>No job type data</v>
      </c>
      <c r="L580" s="7" t="str">
        <f>IFERROR(__xludf.DUMMYFUNCTION("""COMPUTED_VALUE"""),"None")</f>
        <v>None</v>
      </c>
      <c r="M580" s="7"/>
      <c r="N580" s="7"/>
      <c r="O580" s="7"/>
    </row>
    <row r="581">
      <c r="A581" s="29">
        <f>IFERROR(__xludf.DUMMYFUNCTION("""COMPUTED_VALUE"""),577.0)</f>
        <v>577</v>
      </c>
      <c r="B581" s="7" t="str">
        <f>IFERROR(__xludf.DUMMYFUNCTION("""COMPUTED_VALUE"""),"Gerade geschaltet")</f>
        <v>Gerade geschaltet</v>
      </c>
      <c r="C581" s="7" t="str">
        <f>IFERROR(__xludf.DUMMYFUNCTION("""COMPUTED_VALUE"""),"Solution Architects Business Intelligence (m/w)")</f>
        <v>Solution Architects Business Intelligence (m/w)</v>
      </c>
      <c r="D581" s="7" t="str">
        <f>IFERROR(__xludf.DUMMYFUNCTION("""COMPUTED_VALUE"""),"Mannheim")</f>
        <v>Mannheim</v>
      </c>
      <c r="E581" s="7" t="str">
        <f>IFERROR(__xludf.DUMMYFUNCTION("""COMPUTED_VALUE"""),"avarexx AG")</f>
        <v>avarexx AG</v>
      </c>
      <c r="F581" s="7" t="str">
        <f>IFERROR(__xludf.DUMMYFUNCTION("""COMPUTED_VALUE"""),"None")</f>
        <v>None</v>
      </c>
      <c r="G581" s="7" t="str">
        <f>IFERROR(__xludf.DUMMYFUNCTION("""COMPUTED_VALUE"""),"No salary data")</f>
        <v>No salary data</v>
      </c>
      <c r="H581" s="7" t="str">
        <f>IFERROR(__xludf.DUMMYFUNCTION("""COMPUTED_VALUE"""),"No salary data")</f>
        <v>No salary data</v>
      </c>
      <c r="I581" s="7" t="str">
        <f>IFERROR(__xludf.DUMMYFUNCTION("""COMPUTED_VALUE"""),"No salary data")</f>
        <v>No salary data</v>
      </c>
      <c r="J581" s="7"/>
      <c r="K581" s="7" t="str">
        <f>IFERROR(__xludf.DUMMYFUNCTION("""COMPUTED_VALUE"""),"No job type data")</f>
        <v>No job type data</v>
      </c>
      <c r="L581" s="7" t="str">
        <f>IFERROR(__xludf.DUMMYFUNCTION("""COMPUTED_VALUE"""),"None")</f>
        <v>None</v>
      </c>
      <c r="M581" s="7"/>
      <c r="N581" s="7"/>
      <c r="O581" s="7"/>
    </row>
    <row r="582">
      <c r="A582" s="29">
        <f>IFERROR(__xludf.DUMMYFUNCTION("""COMPUTED_VALUE"""),578.0)</f>
        <v>578</v>
      </c>
      <c r="B582" s="7" t="str">
        <f>IFERROR(__xludf.DUMMYFUNCTION("""COMPUTED_VALUE"""),"Vor mehr als 30 Tagen")</f>
        <v>Vor mehr als 30 Tagen</v>
      </c>
      <c r="C582" s="7" t="str">
        <f>IFERROR(__xludf.DUMMYFUNCTION("""COMPUTED_VALUE"""),"Analytics Consultant (m/f/d)")</f>
        <v>Analytics Consultant (m/f/d)</v>
      </c>
      <c r="D582" s="7" t="str">
        <f>IFERROR(__xludf.DUMMYFUNCTION("""COMPUTED_VALUE"""),"Hamburg")</f>
        <v>Hamburg</v>
      </c>
      <c r="E582" s="7" t="str">
        <f>IFERROR(__xludf.DUMMYFUNCTION("""COMPUTED_VALUE"""),"Artefact")</f>
        <v>Artefact</v>
      </c>
      <c r="F582" s="7" t="str">
        <f>IFERROR(__xludf.DUMMYFUNCTION("""COMPUTED_VALUE"""),"None")</f>
        <v>None</v>
      </c>
      <c r="G582" s="7" t="str">
        <f>IFERROR(__xludf.DUMMYFUNCTION("""COMPUTED_VALUE"""),"No salary data")</f>
        <v>No salary data</v>
      </c>
      <c r="H582" s="7" t="str">
        <f>IFERROR(__xludf.DUMMYFUNCTION("""COMPUTED_VALUE"""),"No salary data")</f>
        <v>No salary data</v>
      </c>
      <c r="I582" s="7" t="str">
        <f>IFERROR(__xludf.DUMMYFUNCTION("""COMPUTED_VALUE"""),"No salary data")</f>
        <v>No salary data</v>
      </c>
      <c r="J582" s="7" t="str">
        <f>IFERROR(__xludf.DUMMYFUNCTION("""COMPUTED_VALUE"""),"Python, SQL, Tableau, Git, Agile")</f>
        <v>Python, SQL, Tableau, Git, Agile</v>
      </c>
      <c r="K582" s="7" t="str">
        <f>IFERROR(__xludf.DUMMYFUNCTION("""COMPUTED_VALUE"""),"No job type data")</f>
        <v>No job type data</v>
      </c>
      <c r="L582" s="7" t="str">
        <f>IFERROR(__xludf.DUMMYFUNCTION("""COMPUTED_VALUE"""),"None")</f>
        <v>None</v>
      </c>
      <c r="M582" s="7"/>
      <c r="N582" s="7"/>
      <c r="O582" s="7"/>
    </row>
    <row r="583">
      <c r="A583" s="29">
        <f>IFERROR(__xludf.DUMMYFUNCTION("""COMPUTED_VALUE"""),579.0)</f>
        <v>579</v>
      </c>
      <c r="B583" s="7" t="str">
        <f>IFERROR(__xludf.DUMMYFUNCTION("""COMPUTED_VALUE"""),"vor 24 Tagen")</f>
        <v>vor 24 Tagen</v>
      </c>
      <c r="C583" s="7" t="str">
        <f>IFERROR(__xludf.DUMMYFUNCTION("""COMPUTED_VALUE"""),"Data Scientist / Data Analyst (m/w/d)")</f>
        <v>Data Scientist / Data Analyst (m/w/d)</v>
      </c>
      <c r="D583" s="7" t="str">
        <f>IFERROR(__xludf.DUMMYFUNCTION("""COMPUTED_VALUE"""),"Augsburg")</f>
        <v>Augsburg</v>
      </c>
      <c r="E583" s="7" t="str">
        <f>IFERROR(__xludf.DUMMYFUNCTION("""COMPUTED_VALUE"""),"Mediengruppe Pressedruck")</f>
        <v>Mediengruppe Pressedruck</v>
      </c>
      <c r="F583" s="7" t="str">
        <f>IFERROR(__xludf.DUMMYFUNCTION("""COMPUTED_VALUE"""),"None")</f>
        <v>None</v>
      </c>
      <c r="G583" s="7" t="str">
        <f>IFERROR(__xludf.DUMMYFUNCTION("""COMPUTED_VALUE"""),"No salary data")</f>
        <v>No salary data</v>
      </c>
      <c r="H583" s="7" t="str">
        <f>IFERROR(__xludf.DUMMYFUNCTION("""COMPUTED_VALUE"""),"No salary data")</f>
        <v>No salary data</v>
      </c>
      <c r="I583" s="7" t="str">
        <f>IFERROR(__xludf.DUMMYFUNCTION("""COMPUTED_VALUE"""),"No salary data")</f>
        <v>No salary data</v>
      </c>
      <c r="J583" s="7" t="str">
        <f>IFERROR(__xludf.DUMMYFUNCTION("""COMPUTED_VALUE"""),"Python, SQL, Machine Learning, Git")</f>
        <v>Python, SQL, Machine Learning, Git</v>
      </c>
      <c r="K583" s="7" t="str">
        <f>IFERROR(__xludf.DUMMYFUNCTION("""COMPUTED_VALUE"""),"No job type data")</f>
        <v>No job type data</v>
      </c>
      <c r="L583" s="7" t="str">
        <f>IFERROR(__xludf.DUMMYFUNCTION("""COMPUTED_VALUE"""),"None")</f>
        <v>None</v>
      </c>
      <c r="M583" s="7"/>
      <c r="N583" s="7"/>
      <c r="O583" s="7"/>
    </row>
    <row r="584">
      <c r="A584" s="29">
        <f>IFERROR(__xludf.DUMMYFUNCTION("""COMPUTED_VALUE"""),580.0)</f>
        <v>580</v>
      </c>
      <c r="B584" s="7" t="str">
        <f>IFERROR(__xludf.DUMMYFUNCTION("""COMPUTED_VALUE"""),"vor 3 Tagen")</f>
        <v>vor 3 Tagen</v>
      </c>
      <c r="C584" s="7" t="str">
        <f>IFERROR(__xludf.DUMMYFUNCTION("""COMPUTED_VALUE"""),"Mathematiker, Physiker - Data Scientist, Analysewerkzeuge (m...")</f>
        <v>Mathematiker, Physiker - Data Scientist, Analysewerkzeuge (m...</v>
      </c>
      <c r="D584" s="7" t="str">
        <f>IFERROR(__xludf.DUMMYFUNCTION("""COMPUTED_VALUE"""),"Freiburg")</f>
        <v>Freiburg</v>
      </c>
      <c r="E584" s="7" t="str">
        <f>IFERROR(__xludf.DUMMYFUNCTION("""COMPUTED_VALUE"""),"SpinDiag GmbH")</f>
        <v>SpinDiag GmbH</v>
      </c>
      <c r="F584" s="7" t="str">
        <f>IFERROR(__xludf.DUMMYFUNCTION("""COMPUTED_VALUE"""),"None")</f>
        <v>None</v>
      </c>
      <c r="G584" s="7" t="str">
        <f>IFERROR(__xludf.DUMMYFUNCTION("""COMPUTED_VALUE"""),"No salary data")</f>
        <v>No salary data</v>
      </c>
      <c r="H584" s="7" t="str">
        <f>IFERROR(__xludf.DUMMYFUNCTION("""COMPUTED_VALUE"""),"No salary data")</f>
        <v>No salary data</v>
      </c>
      <c r="I584" s="7" t="str">
        <f>IFERROR(__xludf.DUMMYFUNCTION("""COMPUTED_VALUE"""),"No salary data")</f>
        <v>No salary data</v>
      </c>
      <c r="J584" s="7"/>
      <c r="K584" s="7" t="str">
        <f>IFERROR(__xludf.DUMMYFUNCTION("""COMPUTED_VALUE"""),"Permanent")</f>
        <v>Permanent</v>
      </c>
      <c r="L584" s="7" t="str">
        <f>IFERROR(__xludf.DUMMYFUNCTION("""COMPUTED_VALUE"""),"None")</f>
        <v>None</v>
      </c>
      <c r="M584" s="7"/>
      <c r="N584" s="7"/>
      <c r="O584" s="7"/>
    </row>
    <row r="585">
      <c r="A585" s="29">
        <f>IFERROR(__xludf.DUMMYFUNCTION("""COMPUTED_VALUE"""),581.0)</f>
        <v>581</v>
      </c>
      <c r="B585" s="7" t="str">
        <f>IFERROR(__xludf.DUMMYFUNCTION("""COMPUTED_VALUE"""),"Vor mehr als 30 Tagen")</f>
        <v>Vor mehr als 30 Tagen</v>
      </c>
      <c r="C585" s="7" t="str">
        <f>IFERROR(__xludf.DUMMYFUNCTION("""COMPUTED_VALUE"""),"Reporting Analyst m/w/d Eschborn")</f>
        <v>Reporting Analyst m/w/d Eschborn</v>
      </c>
      <c r="D585" s="7" t="str">
        <f>IFERROR(__xludf.DUMMYFUNCTION("""COMPUTED_VALUE"""),"Frankfurt am Main")</f>
        <v>Frankfurt am Main</v>
      </c>
      <c r="E585" s="7" t="str">
        <f>IFERROR(__xludf.DUMMYFUNCTION("""COMPUTED_VALUE"""),"ConCardis GmbH")</f>
        <v>ConCardis GmbH</v>
      </c>
      <c r="F585" s="7" t="str">
        <f>IFERROR(__xludf.DUMMYFUNCTION("""COMPUTED_VALUE"""),"None")</f>
        <v>None</v>
      </c>
      <c r="G585" s="7" t="str">
        <f>IFERROR(__xludf.DUMMYFUNCTION("""COMPUTED_VALUE"""),"No salary data")</f>
        <v>No salary data</v>
      </c>
      <c r="H585" s="7" t="str">
        <f>IFERROR(__xludf.DUMMYFUNCTION("""COMPUTED_VALUE"""),"No salary data")</f>
        <v>No salary data</v>
      </c>
      <c r="I585" s="7" t="str">
        <f>IFERROR(__xludf.DUMMYFUNCTION("""COMPUTED_VALUE"""),"No salary data")</f>
        <v>No salary data</v>
      </c>
      <c r="J585" s="7" t="str">
        <f>IFERROR(__xludf.DUMMYFUNCTION("""COMPUTED_VALUE"""),"Git, Agile")</f>
        <v>Git, Agile</v>
      </c>
      <c r="K585" s="7" t="str">
        <f>IFERROR(__xludf.DUMMYFUNCTION("""COMPUTED_VALUE"""),"No job type data")</f>
        <v>No job type data</v>
      </c>
      <c r="L585" s="7" t="str">
        <f>IFERROR(__xludf.DUMMYFUNCTION("""COMPUTED_VALUE"""),"2,8")</f>
        <v>2,8</v>
      </c>
      <c r="M585" s="7"/>
      <c r="N585" s="7"/>
      <c r="O585" s="7"/>
    </row>
    <row r="586">
      <c r="A586" s="29">
        <f>IFERROR(__xludf.DUMMYFUNCTION("""COMPUTED_VALUE"""),582.0)</f>
        <v>582</v>
      </c>
      <c r="B586" s="7" t="str">
        <f>IFERROR(__xludf.DUMMYFUNCTION("""COMPUTED_VALUE"""),"Vor mehr als 30 Tagen")</f>
        <v>Vor mehr als 30 Tagen</v>
      </c>
      <c r="C586" s="7" t="str">
        <f>IFERROR(__xludf.DUMMYFUNCTION("""COMPUTED_VALUE"""),"Data Scientist (m/w/d)")</f>
        <v>Data Scientist (m/w/d)</v>
      </c>
      <c r="D586" s="7" t="str">
        <f>IFERROR(__xludf.DUMMYFUNCTION("""COMPUTED_VALUE"""),"Pforzheim")</f>
        <v>Pforzheim</v>
      </c>
      <c r="E586" s="7" t="str">
        <f>IFERROR(__xludf.DUMMYFUNCTION("""COMPUTED_VALUE"""),"Klingel Gruppe")</f>
        <v>Klingel Gruppe</v>
      </c>
      <c r="F586" s="7" t="str">
        <f>IFERROR(__xludf.DUMMYFUNCTION("""COMPUTED_VALUE"""),"None")</f>
        <v>None</v>
      </c>
      <c r="G586" s="7" t="str">
        <f>IFERROR(__xludf.DUMMYFUNCTION("""COMPUTED_VALUE"""),"No salary data")</f>
        <v>No salary data</v>
      </c>
      <c r="H586" s="7" t="str">
        <f>IFERROR(__xludf.DUMMYFUNCTION("""COMPUTED_VALUE"""),"No salary data")</f>
        <v>No salary data</v>
      </c>
      <c r="I586" s="7" t="str">
        <f>IFERROR(__xludf.DUMMYFUNCTION("""COMPUTED_VALUE"""),"No salary data")</f>
        <v>No salary data</v>
      </c>
      <c r="J586" s="7" t="str">
        <f>IFERROR(__xludf.DUMMYFUNCTION("""COMPUTED_VALUE"""),"Python, SQL, Machine Learning")</f>
        <v>Python, SQL, Machine Learning</v>
      </c>
      <c r="K586" s="7" t="str">
        <f>IFERROR(__xludf.DUMMYFUNCTION("""COMPUTED_VALUE"""),"No job type data")</f>
        <v>No job type data</v>
      </c>
      <c r="L586" s="7" t="str">
        <f>IFERROR(__xludf.DUMMYFUNCTION("""COMPUTED_VALUE"""),"None")</f>
        <v>None</v>
      </c>
      <c r="M586" s="7"/>
      <c r="N586" s="7"/>
      <c r="O586" s="7"/>
    </row>
    <row r="587">
      <c r="A587" s="29">
        <f>IFERROR(__xludf.DUMMYFUNCTION("""COMPUTED_VALUE"""),583.0)</f>
        <v>583</v>
      </c>
      <c r="B587" s="7" t="str">
        <f>IFERROR(__xludf.DUMMYFUNCTION("""COMPUTED_VALUE"""),"Vor mehr als 30 Tagen")</f>
        <v>Vor mehr als 30 Tagen</v>
      </c>
      <c r="C587" s="7" t="str">
        <f>IFERROR(__xludf.DUMMYFUNCTION("""COMPUTED_VALUE"""),"Data Analyst (m/w/d) Online / Digital Marketing")</f>
        <v>Data Analyst (m/w/d) Online / Digital Marketing</v>
      </c>
      <c r="D587" s="7" t="str">
        <f>IFERROR(__xludf.DUMMYFUNCTION("""COMPUTED_VALUE"""),"Buchholz in der Nordheide")</f>
        <v>Buchholz in der Nordheide</v>
      </c>
      <c r="E587" s="7" t="str">
        <f>IFERROR(__xludf.DUMMYFUNCTION("""COMPUTED_VALUE"""),"BFOUND GmbH")</f>
        <v>BFOUND GmbH</v>
      </c>
      <c r="F587" s="7" t="str">
        <f>IFERROR(__xludf.DUMMYFUNCTION("""COMPUTED_VALUE"""),"None")</f>
        <v>None</v>
      </c>
      <c r="G587" s="7" t="str">
        <f>IFERROR(__xludf.DUMMYFUNCTION("""COMPUTED_VALUE"""),"No salary data")</f>
        <v>No salary data</v>
      </c>
      <c r="H587" s="7" t="str">
        <f>IFERROR(__xludf.DUMMYFUNCTION("""COMPUTED_VALUE"""),"No salary data")</f>
        <v>No salary data</v>
      </c>
      <c r="I587" s="7" t="str">
        <f>IFERROR(__xludf.DUMMYFUNCTION("""COMPUTED_VALUE"""),"No salary data")</f>
        <v>No salary data</v>
      </c>
      <c r="J587" s="7" t="str">
        <f>IFERROR(__xludf.DUMMYFUNCTION("""COMPUTED_VALUE"""),"Git")</f>
        <v>Git</v>
      </c>
      <c r="K587" s="7" t="str">
        <f>IFERROR(__xludf.DUMMYFUNCTION("""COMPUTED_VALUE"""),"No job type data")</f>
        <v>No job type data</v>
      </c>
      <c r="L587" s="7" t="str">
        <f>IFERROR(__xludf.DUMMYFUNCTION("""COMPUTED_VALUE"""),"None")</f>
        <v>None</v>
      </c>
      <c r="M587" s="7"/>
      <c r="N587" s="7"/>
      <c r="O587" s="7"/>
    </row>
    <row r="588">
      <c r="A588" s="29">
        <f>IFERROR(__xludf.DUMMYFUNCTION("""COMPUTED_VALUE"""),584.0)</f>
        <v>584</v>
      </c>
      <c r="B588" s="7" t="str">
        <f>IFERROR(__xludf.DUMMYFUNCTION("""COMPUTED_VALUE"""),"vor 24 Tagen")</f>
        <v>vor 24 Tagen</v>
      </c>
      <c r="C588" s="7" t="str">
        <f>IFERROR(__xludf.DUMMYFUNCTION("""COMPUTED_VALUE"""),"Senior Data Analyst - Edtech (f/m/d)")</f>
        <v>Senior Data Analyst - Edtech (f/m/d)</v>
      </c>
      <c r="D588" s="7" t="str">
        <f>IFERROR(__xludf.DUMMYFUNCTION("""COMPUTED_VALUE"""),"Berlin")</f>
        <v>Berlin</v>
      </c>
      <c r="E588" s="7" t="str">
        <f>IFERROR(__xludf.DUMMYFUNCTION("""COMPUTED_VALUE"""),"CareerFoundry GmbH")</f>
        <v>CareerFoundry GmbH</v>
      </c>
      <c r="F588" s="7" t="str">
        <f>IFERROR(__xludf.DUMMYFUNCTION("""COMPUTED_VALUE"""),"None")</f>
        <v>None</v>
      </c>
      <c r="G588" s="7" t="str">
        <f>IFERROR(__xludf.DUMMYFUNCTION("""COMPUTED_VALUE"""),"No salary data")</f>
        <v>No salary data</v>
      </c>
      <c r="H588" s="7" t="str">
        <f>IFERROR(__xludf.DUMMYFUNCTION("""COMPUTED_VALUE"""),"No salary data")</f>
        <v>No salary data</v>
      </c>
      <c r="I588" s="7" t="str">
        <f>IFERROR(__xludf.DUMMYFUNCTION("""COMPUTED_VALUE"""),"No salary data")</f>
        <v>No salary data</v>
      </c>
      <c r="J588" s="7" t="str">
        <f>IFERROR(__xludf.DUMMYFUNCTION("""COMPUTED_VALUE"""),"Python, SQL, Statistic, Agile, Scrum")</f>
        <v>Python, SQL, Statistic, Agile, Scrum</v>
      </c>
      <c r="K588" s="7" t="str">
        <f>IFERROR(__xludf.DUMMYFUNCTION("""COMPUTED_VALUE"""),"Full-Time")</f>
        <v>Full-Time</v>
      </c>
      <c r="L588" s="7" t="str">
        <f>IFERROR(__xludf.DUMMYFUNCTION("""COMPUTED_VALUE"""),"None")</f>
        <v>None</v>
      </c>
      <c r="M588" s="7"/>
      <c r="N588" s="7"/>
      <c r="O588" s="7"/>
    </row>
    <row r="589">
      <c r="A589" s="29">
        <f>IFERROR(__xludf.DUMMYFUNCTION("""COMPUTED_VALUE"""),585.0)</f>
        <v>585</v>
      </c>
      <c r="B589" s="7" t="str">
        <f>IFERROR(__xludf.DUMMYFUNCTION("""COMPUTED_VALUE"""),"Vor mehr als 30 Tagen")</f>
        <v>Vor mehr als 30 Tagen</v>
      </c>
      <c r="C589" s="7" t="str">
        <f>IFERROR(__xludf.DUMMYFUNCTION("""COMPUTED_VALUE"""),"Intern/Working student Business Intelligence and Sales Opera...")</f>
        <v>Intern/Working student Business Intelligence and Sales Opera...</v>
      </c>
      <c r="D589" s="7" t="str">
        <f>IFERROR(__xludf.DUMMYFUNCTION("""COMPUTED_VALUE"""),"Berlin")</f>
        <v>Berlin</v>
      </c>
      <c r="E589" s="7" t="str">
        <f>IFERROR(__xludf.DUMMYFUNCTION("""COMPUTED_VALUE"""),"virtualQ GmbH")</f>
        <v>virtualQ GmbH</v>
      </c>
      <c r="F589" s="7" t="str">
        <f>IFERROR(__xludf.DUMMYFUNCTION("""COMPUTED_VALUE"""),"None")</f>
        <v>None</v>
      </c>
      <c r="G589" s="7" t="str">
        <f>IFERROR(__xludf.DUMMYFUNCTION("""COMPUTED_VALUE"""),"No salary data")</f>
        <v>No salary data</v>
      </c>
      <c r="H589" s="7" t="str">
        <f>IFERROR(__xludf.DUMMYFUNCTION("""COMPUTED_VALUE"""),"No salary data")</f>
        <v>No salary data</v>
      </c>
      <c r="I589" s="7" t="str">
        <f>IFERROR(__xludf.DUMMYFUNCTION("""COMPUTED_VALUE"""),"No salary data")</f>
        <v>No salary data</v>
      </c>
      <c r="J589" s="7" t="str">
        <f>IFERROR(__xludf.DUMMYFUNCTION("""COMPUTED_VALUE"""),"SQL, Tableau, Excel, Statistic")</f>
        <v>SQL, Tableau, Excel, Statistic</v>
      </c>
      <c r="K589" s="7" t="str">
        <f>IFERROR(__xludf.DUMMYFUNCTION("""COMPUTED_VALUE"""),"Contract")</f>
        <v>Contract</v>
      </c>
      <c r="L589" s="7" t="str">
        <f>IFERROR(__xludf.DUMMYFUNCTION("""COMPUTED_VALUE"""),"None")</f>
        <v>None</v>
      </c>
      <c r="M589" s="7"/>
      <c r="N589" s="7"/>
      <c r="O589" s="7"/>
    </row>
    <row r="590">
      <c r="A590" s="29">
        <f>IFERROR(__xludf.DUMMYFUNCTION("""COMPUTED_VALUE"""),586.0)</f>
        <v>586</v>
      </c>
      <c r="B590" s="7" t="str">
        <f>IFERROR(__xludf.DUMMYFUNCTION("""COMPUTED_VALUE"""),"vor 6 Tagen")</f>
        <v>vor 6 Tagen</v>
      </c>
      <c r="C590" s="7" t="str">
        <f>IFERROR(__xludf.DUMMYFUNCTION("""COMPUTED_VALUE"""),"Förderung von KI- Nachwuchswissenschaftlerinnen: Seismologie...")</f>
        <v>Förderung von KI- Nachwuchswissenschaftlerinnen: Seismologie...</v>
      </c>
      <c r="D590" s="7" t="str">
        <f>IFERROR(__xludf.DUMMYFUNCTION("""COMPUTED_VALUE"""),"Frankfurt am Main")</f>
        <v>Frankfurt am Main</v>
      </c>
      <c r="E590" s="7" t="str">
        <f>IFERROR(__xludf.DUMMYFUNCTION("""COMPUTED_VALUE"""),"Frankfurt Institute for Advanced Studies (FIAS)")</f>
        <v>Frankfurt Institute for Advanced Studies (FIAS)</v>
      </c>
      <c r="F590" s="7" t="str">
        <f>IFERROR(__xludf.DUMMYFUNCTION("""COMPUTED_VALUE"""),"None")</f>
        <v>None</v>
      </c>
      <c r="G590" s="7" t="str">
        <f>IFERROR(__xludf.DUMMYFUNCTION("""COMPUTED_VALUE"""),"No salary data")</f>
        <v>No salary data</v>
      </c>
      <c r="H590" s="7" t="str">
        <f>IFERROR(__xludf.DUMMYFUNCTION("""COMPUTED_VALUE"""),"No salary data")</f>
        <v>No salary data</v>
      </c>
      <c r="I590" s="7" t="str">
        <f>IFERROR(__xludf.DUMMYFUNCTION("""COMPUTED_VALUE"""),"No salary data")</f>
        <v>No salary data</v>
      </c>
      <c r="J590" s="7" t="str">
        <f>IFERROR(__xludf.DUMMYFUNCTION("""COMPUTED_VALUE"""),"Python, Excel, Machine Learning, Deep Learning")</f>
        <v>Python, Excel, Machine Learning, Deep Learning</v>
      </c>
      <c r="K590" s="7" t="str">
        <f>IFERROR(__xludf.DUMMYFUNCTION("""COMPUTED_VALUE"""),"No job type data")</f>
        <v>No job type data</v>
      </c>
      <c r="L590" s="7" t="str">
        <f>IFERROR(__xludf.DUMMYFUNCTION("""COMPUTED_VALUE"""),"None")</f>
        <v>None</v>
      </c>
      <c r="M590" s="7"/>
      <c r="N590" s="7"/>
      <c r="O590" s="7"/>
    </row>
    <row r="591">
      <c r="A591" s="29">
        <f>IFERROR(__xludf.DUMMYFUNCTION("""COMPUTED_VALUE"""),587.0)</f>
        <v>587</v>
      </c>
      <c r="B591" s="7" t="str">
        <f>IFERROR(__xludf.DUMMYFUNCTION("""COMPUTED_VALUE"""),"vor 3 Tagen")</f>
        <v>vor 3 Tagen</v>
      </c>
      <c r="C591" s="7" t="str">
        <f>IFERROR(__xludf.DUMMYFUNCTION("""COMPUTED_VALUE"""),"Wirtschaftsinformatik - Data Science (m/w/d)")</f>
        <v>Wirtschaftsinformatik - Data Science (m/w/d)</v>
      </c>
      <c r="D591" s="7" t="str">
        <f>IFERROR(__xludf.DUMMYFUNCTION("""COMPUTED_VALUE"""),"Eschborn")</f>
        <v>Eschborn</v>
      </c>
      <c r="E591" s="7" t="str">
        <f>IFERROR(__xludf.DUMMYFUNCTION("""COMPUTED_VALUE"""),"VR Smart Finanz")</f>
        <v>VR Smart Finanz</v>
      </c>
      <c r="F591" s="7" t="str">
        <f>IFERROR(__xludf.DUMMYFUNCTION("""COMPUTED_VALUE"""),"None")</f>
        <v>None</v>
      </c>
      <c r="G591" s="7" t="str">
        <f>IFERROR(__xludf.DUMMYFUNCTION("""COMPUTED_VALUE"""),"No salary data")</f>
        <v>No salary data</v>
      </c>
      <c r="H591" s="7" t="str">
        <f>IFERROR(__xludf.DUMMYFUNCTION("""COMPUTED_VALUE"""),"No salary data")</f>
        <v>No salary data</v>
      </c>
      <c r="I591" s="7" t="str">
        <f>IFERROR(__xludf.DUMMYFUNCTION("""COMPUTED_VALUE"""),"No salary data")</f>
        <v>No salary data</v>
      </c>
      <c r="J591" s="7" t="str">
        <f>IFERROR(__xludf.DUMMYFUNCTION("""COMPUTED_VALUE"""),"Git")</f>
        <v>Git</v>
      </c>
      <c r="K591" s="7" t="str">
        <f>IFERROR(__xludf.DUMMYFUNCTION("""COMPUTED_VALUE"""),"No job type data")</f>
        <v>No job type data</v>
      </c>
      <c r="L591" s="7" t="str">
        <f>IFERROR(__xludf.DUMMYFUNCTION("""COMPUTED_VALUE"""),"None")</f>
        <v>None</v>
      </c>
      <c r="M591" s="7"/>
      <c r="N591" s="7"/>
      <c r="O591" s="7"/>
    </row>
    <row r="592">
      <c r="A592" s="29">
        <f>IFERROR(__xludf.DUMMYFUNCTION("""COMPUTED_VALUE"""),588.0)</f>
        <v>588</v>
      </c>
      <c r="B592" s="7" t="str">
        <f>IFERROR(__xludf.DUMMYFUNCTION("""COMPUTED_VALUE"""),"Vor mehr als 30 Tagen")</f>
        <v>Vor mehr als 30 Tagen</v>
      </c>
      <c r="C592" s="7" t="str">
        <f>IFERROR(__xludf.DUMMYFUNCTION("""COMPUTED_VALUE"""),"Consultant Data &amp; Analytics für Microsoft Power BI (m/w/d)")</f>
        <v>Consultant Data &amp; Analytics für Microsoft Power BI (m/w/d)</v>
      </c>
      <c r="D592" s="7" t="str">
        <f>IFERROR(__xludf.DUMMYFUNCTION("""COMPUTED_VALUE"""),"Deutschland")</f>
        <v>Deutschland</v>
      </c>
      <c r="E592" s="7" t="str">
        <f>IFERROR(__xludf.DUMMYFUNCTION("""COMPUTED_VALUE"""),"Steria")</f>
        <v>Steria</v>
      </c>
      <c r="F592" s="7" t="str">
        <f>IFERROR(__xludf.DUMMYFUNCTION("""COMPUTED_VALUE"""),"None")</f>
        <v>None</v>
      </c>
      <c r="G592" s="7" t="str">
        <f>IFERROR(__xludf.DUMMYFUNCTION("""COMPUTED_VALUE"""),"No salary data")</f>
        <v>No salary data</v>
      </c>
      <c r="H592" s="7" t="str">
        <f>IFERROR(__xludf.DUMMYFUNCTION("""COMPUTED_VALUE"""),"No salary data")</f>
        <v>No salary data</v>
      </c>
      <c r="I592" s="7" t="str">
        <f>IFERROR(__xludf.DUMMYFUNCTION("""COMPUTED_VALUE"""),"No salary data")</f>
        <v>No salary data</v>
      </c>
      <c r="J592" s="7" t="str">
        <f>IFERROR(__xludf.DUMMYFUNCTION("""COMPUTED_VALUE"""),"SQL, Agile")</f>
        <v>SQL, Agile</v>
      </c>
      <c r="K592" s="7" t="str">
        <f>IFERROR(__xludf.DUMMYFUNCTION("""COMPUTED_VALUE"""),"No job type data")</f>
        <v>No job type data</v>
      </c>
      <c r="L592" s="7" t="str">
        <f>IFERROR(__xludf.DUMMYFUNCTION("""COMPUTED_VALUE"""),"3,5")</f>
        <v>3,5</v>
      </c>
      <c r="M592" s="7"/>
      <c r="N592" s="7"/>
      <c r="O592" s="7"/>
    </row>
    <row r="593">
      <c r="A593" s="29">
        <f>IFERROR(__xludf.DUMMYFUNCTION("""COMPUTED_VALUE"""),589.0)</f>
        <v>589</v>
      </c>
      <c r="B593" s="7" t="str">
        <f>IFERROR(__xludf.DUMMYFUNCTION("""COMPUTED_VALUE"""),"vor 6 Tagen")</f>
        <v>vor 6 Tagen</v>
      </c>
      <c r="C593" s="7" t="str">
        <f>IFERROR(__xludf.DUMMYFUNCTION("""COMPUTED_VALUE"""),"Internship: Application Engineering Radar Sensing (f/m/div)*")</f>
        <v>Internship: Application Engineering Radar Sensing (f/m/div)*</v>
      </c>
      <c r="D593" s="7" t="str">
        <f>IFERROR(__xludf.DUMMYFUNCTION("""COMPUTED_VALUE"""),"München")</f>
        <v>München</v>
      </c>
      <c r="E593" s="7" t="str">
        <f>IFERROR(__xludf.DUMMYFUNCTION("""COMPUTED_VALUE"""),"Infineon Technologies")</f>
        <v>Infineon Technologies</v>
      </c>
      <c r="F593" s="7" t="str">
        <f>IFERROR(__xludf.DUMMYFUNCTION("""COMPUTED_VALUE"""),"None")</f>
        <v>None</v>
      </c>
      <c r="G593" s="7" t="str">
        <f>IFERROR(__xludf.DUMMYFUNCTION("""COMPUTED_VALUE"""),"No salary data")</f>
        <v>No salary data</v>
      </c>
      <c r="H593" s="7" t="str">
        <f>IFERROR(__xludf.DUMMYFUNCTION("""COMPUTED_VALUE"""),"No salary data")</f>
        <v>No salary data</v>
      </c>
      <c r="I593" s="7" t="str">
        <f>IFERROR(__xludf.DUMMYFUNCTION("""COMPUTED_VALUE"""),"No salary data")</f>
        <v>No salary data</v>
      </c>
      <c r="J593" s="7"/>
      <c r="K593" s="7" t="str">
        <f>IFERROR(__xludf.DUMMYFUNCTION("""COMPUTED_VALUE"""),"No job type data")</f>
        <v>No job type data</v>
      </c>
      <c r="L593" s="7" t="str">
        <f>IFERROR(__xludf.DUMMYFUNCTION("""COMPUTED_VALUE"""),"4,0")</f>
        <v>4,0</v>
      </c>
      <c r="M593" s="7"/>
      <c r="N593" s="7"/>
      <c r="O593" s="7"/>
    </row>
    <row r="594">
      <c r="A594" s="29">
        <f>IFERROR(__xludf.DUMMYFUNCTION("""COMPUTED_VALUE"""),590.0)</f>
        <v>590</v>
      </c>
      <c r="B594" s="7" t="str">
        <f>IFERROR(__xludf.DUMMYFUNCTION("""COMPUTED_VALUE"""),"vor 12 Tagen")</f>
        <v>vor 12 Tagen</v>
      </c>
      <c r="C594" s="7" t="str">
        <f>IFERROR(__xludf.DUMMYFUNCTION("""COMPUTED_VALUE"""),"Trainee/Junior Account Management Tracking/Analytics (m/w/d)")</f>
        <v>Trainee/Junior Account Management Tracking/Analytics (m/w/d)</v>
      </c>
      <c r="D594" s="7" t="str">
        <f>IFERROR(__xludf.DUMMYFUNCTION("""COMPUTED_VALUE"""),"Köln")</f>
        <v>Köln</v>
      </c>
      <c r="E594" s="7" t="str">
        <f>IFERROR(__xludf.DUMMYFUNCTION("""COMPUTED_VALUE"""),"antwerpes ag")</f>
        <v>antwerpes ag</v>
      </c>
      <c r="F594" s="7" t="str">
        <f>IFERROR(__xludf.DUMMYFUNCTION("""COMPUTED_VALUE"""),"None")</f>
        <v>None</v>
      </c>
      <c r="G594" s="7" t="str">
        <f>IFERROR(__xludf.DUMMYFUNCTION("""COMPUTED_VALUE"""),"No salary data")</f>
        <v>No salary data</v>
      </c>
      <c r="H594" s="7" t="str">
        <f>IFERROR(__xludf.DUMMYFUNCTION("""COMPUTED_VALUE"""),"No salary data")</f>
        <v>No salary data</v>
      </c>
      <c r="I594" s="7" t="str">
        <f>IFERROR(__xludf.DUMMYFUNCTION("""COMPUTED_VALUE"""),"No salary data")</f>
        <v>No salary data</v>
      </c>
      <c r="J594" s="7" t="str">
        <f>IFERROR(__xludf.DUMMYFUNCTION("""COMPUTED_VALUE"""),"Git")</f>
        <v>Git</v>
      </c>
      <c r="K594" s="7" t="str">
        <f>IFERROR(__xludf.DUMMYFUNCTION("""COMPUTED_VALUE"""),"No job type data")</f>
        <v>No job type data</v>
      </c>
      <c r="L594" s="7" t="str">
        <f>IFERROR(__xludf.DUMMYFUNCTION("""COMPUTED_VALUE"""),"5,0")</f>
        <v>5,0</v>
      </c>
      <c r="M594" s="7"/>
      <c r="N594" s="7"/>
      <c r="O594" s="7"/>
    </row>
    <row r="595">
      <c r="A595" s="29">
        <f>IFERROR(__xludf.DUMMYFUNCTION("""COMPUTED_VALUE"""),591.0)</f>
        <v>591</v>
      </c>
      <c r="B595" s="7" t="str">
        <f>IFERROR(__xludf.DUMMYFUNCTION("""COMPUTED_VALUE"""),"vor 17 Tagen")</f>
        <v>vor 17 Tagen</v>
      </c>
      <c r="C595" s="7" t="str">
        <f>IFERROR(__xludf.DUMMYFUNCTION("""COMPUTED_VALUE"""),"Data Architect (m/f/d)")</f>
        <v>Data Architect (m/f/d)</v>
      </c>
      <c r="D595" s="7" t="str">
        <f>IFERROR(__xludf.DUMMYFUNCTION("""COMPUTED_VALUE"""),"Berlin-Friedrichshain")</f>
        <v>Berlin-Friedrichshain</v>
      </c>
      <c r="E595" s="7" t="str">
        <f>IFERROR(__xludf.DUMMYFUNCTION("""COMPUTED_VALUE"""),"BASF Services Europe GmbH")</f>
        <v>BASF Services Europe GmbH</v>
      </c>
      <c r="F595" s="7" t="str">
        <f>IFERROR(__xludf.DUMMYFUNCTION("""COMPUTED_VALUE"""),"None")</f>
        <v>None</v>
      </c>
      <c r="G595" s="7" t="str">
        <f>IFERROR(__xludf.DUMMYFUNCTION("""COMPUTED_VALUE"""),"No salary data")</f>
        <v>No salary data</v>
      </c>
      <c r="H595" s="7" t="str">
        <f>IFERROR(__xludf.DUMMYFUNCTION("""COMPUTED_VALUE"""),"No salary data")</f>
        <v>No salary data</v>
      </c>
      <c r="I595" s="7" t="str">
        <f>IFERROR(__xludf.DUMMYFUNCTION("""COMPUTED_VALUE"""),"No salary data")</f>
        <v>No salary data</v>
      </c>
      <c r="J595" s="7" t="str">
        <f>IFERROR(__xludf.DUMMYFUNCTION("""COMPUTED_VALUE"""),"Python, SQL, Machine Learning, Git")</f>
        <v>Python, SQL, Machine Learning, Git</v>
      </c>
      <c r="K595" s="7" t="str">
        <f>IFERROR(__xludf.DUMMYFUNCTION("""COMPUTED_VALUE"""),"No job type data")</f>
        <v>No job type data</v>
      </c>
      <c r="L595" s="7" t="str">
        <f>IFERROR(__xludf.DUMMYFUNCTION("""COMPUTED_VALUE"""),"4,1")</f>
        <v>4,1</v>
      </c>
      <c r="M595" s="7"/>
      <c r="N595" s="7"/>
      <c r="O595" s="7"/>
    </row>
    <row r="596">
      <c r="A596" s="29">
        <f>IFERROR(__xludf.DUMMYFUNCTION("""COMPUTED_VALUE"""),592.0)</f>
        <v>592</v>
      </c>
      <c r="B596" s="7" t="str">
        <f>IFERROR(__xludf.DUMMYFUNCTION("""COMPUTED_VALUE"""),"Vor mehr als 30 Tagen")</f>
        <v>Vor mehr als 30 Tagen</v>
      </c>
      <c r="C596" s="7" t="str">
        <f>IFERROR(__xludf.DUMMYFUNCTION("""COMPUTED_VALUE"""),"Data Engineer (f/m/d)")</f>
        <v>Data Engineer (f/m/d)</v>
      </c>
      <c r="D596" s="7" t="str">
        <f>IFERROR(__xludf.DUMMYFUNCTION("""COMPUTED_VALUE"""),"Köln")</f>
        <v>Köln</v>
      </c>
      <c r="E596" s="7" t="str">
        <f>IFERROR(__xludf.DUMMYFUNCTION("""COMPUTED_VALUE"""),"real,- Digital Services GmbH")</f>
        <v>real,- Digital Services GmbH</v>
      </c>
      <c r="F596" s="7" t="str">
        <f>IFERROR(__xludf.DUMMYFUNCTION("""COMPUTED_VALUE"""),"None")</f>
        <v>None</v>
      </c>
      <c r="G596" s="7" t="str">
        <f>IFERROR(__xludf.DUMMYFUNCTION("""COMPUTED_VALUE"""),"No salary data")</f>
        <v>No salary data</v>
      </c>
      <c r="H596" s="7" t="str">
        <f>IFERROR(__xludf.DUMMYFUNCTION("""COMPUTED_VALUE"""),"No salary data")</f>
        <v>No salary data</v>
      </c>
      <c r="I596" s="7" t="str">
        <f>IFERROR(__xludf.DUMMYFUNCTION("""COMPUTED_VALUE"""),"No salary data")</f>
        <v>No salary data</v>
      </c>
      <c r="J596" s="7" t="str">
        <f>IFERROR(__xludf.DUMMYFUNCTION("""COMPUTED_VALUE"""),"Python, SQL, Git, Linux")</f>
        <v>Python, SQL, Git, Linux</v>
      </c>
      <c r="K596" s="7" t="str">
        <f>IFERROR(__xludf.DUMMYFUNCTION("""COMPUTED_VALUE"""),"No job type data")</f>
        <v>No job type data</v>
      </c>
      <c r="L596" s="7" t="str">
        <f>IFERROR(__xludf.DUMMYFUNCTION("""COMPUTED_VALUE"""),"None")</f>
        <v>None</v>
      </c>
      <c r="M596" s="7"/>
      <c r="N596" s="7"/>
      <c r="O596" s="7"/>
    </row>
    <row r="597">
      <c r="A597" s="29">
        <f>IFERROR(__xludf.DUMMYFUNCTION("""COMPUTED_VALUE"""),593.0)</f>
        <v>593</v>
      </c>
      <c r="B597" s="7" t="str">
        <f>IFERROR(__xludf.DUMMYFUNCTION("""COMPUTED_VALUE"""),"vor 3 Tagen")</f>
        <v>vor 3 Tagen</v>
      </c>
      <c r="C597" s="7" t="str">
        <f>IFERROR(__xludf.DUMMYFUNCTION("""COMPUTED_VALUE"""),"Platform Specialist E-Commerce (m/f/d)")</f>
        <v>Platform Specialist E-Commerce (m/f/d)</v>
      </c>
      <c r="D597" s="7" t="str">
        <f>IFERROR(__xludf.DUMMYFUNCTION("""COMPUTED_VALUE"""),"Metzingen")</f>
        <v>Metzingen</v>
      </c>
      <c r="E597" s="7" t="str">
        <f>IFERROR(__xludf.DUMMYFUNCTION("""COMPUTED_VALUE"""),"Hugo Boss")</f>
        <v>Hugo Boss</v>
      </c>
      <c r="F597" s="7" t="str">
        <f>IFERROR(__xludf.DUMMYFUNCTION("""COMPUTED_VALUE"""),"None")</f>
        <v>None</v>
      </c>
      <c r="G597" s="7" t="str">
        <f>IFERROR(__xludf.DUMMYFUNCTION("""COMPUTED_VALUE"""),"No salary data")</f>
        <v>No salary data</v>
      </c>
      <c r="H597" s="7" t="str">
        <f>IFERROR(__xludf.DUMMYFUNCTION("""COMPUTED_VALUE"""),"No salary data")</f>
        <v>No salary data</v>
      </c>
      <c r="I597" s="7" t="str">
        <f>IFERROR(__xludf.DUMMYFUNCTION("""COMPUTED_VALUE"""),"No salary data")</f>
        <v>No salary data</v>
      </c>
      <c r="J597" s="7" t="str">
        <f>IFERROR(__xludf.DUMMYFUNCTION("""COMPUTED_VALUE"""),"Git")</f>
        <v>Git</v>
      </c>
      <c r="K597" s="7" t="str">
        <f>IFERROR(__xludf.DUMMYFUNCTION("""COMPUTED_VALUE"""),"Full-Time")</f>
        <v>Full-Time</v>
      </c>
      <c r="L597" s="7" t="str">
        <f>IFERROR(__xludf.DUMMYFUNCTION("""COMPUTED_VALUE"""),"3,7")</f>
        <v>3,7</v>
      </c>
      <c r="M597" s="7"/>
      <c r="N597" s="7"/>
      <c r="O597" s="7"/>
    </row>
    <row r="598">
      <c r="A598" s="29">
        <f>IFERROR(__xludf.DUMMYFUNCTION("""COMPUTED_VALUE"""),594.0)</f>
        <v>594</v>
      </c>
      <c r="B598" s="7" t="str">
        <f>IFERROR(__xludf.DUMMYFUNCTION("""COMPUTED_VALUE"""),"vor 3 Tagen")</f>
        <v>vor 3 Tagen</v>
      </c>
      <c r="C598" s="7" t="str">
        <f>IFERROR(__xludf.DUMMYFUNCTION("""COMPUTED_VALUE"""),"Bachelor / Master Thesis / IDP / Forschungspraxis (m/f/d) Li...")</f>
        <v>Bachelor / Master Thesis / IDP / Forschungspraxis (m/f/d) Li...</v>
      </c>
      <c r="D598" s="7" t="str">
        <f>IFERROR(__xludf.DUMMYFUNCTION("""COMPUTED_VALUE"""),"München")</f>
        <v>München</v>
      </c>
      <c r="E598" s="7" t="str">
        <f>IFERROR(__xludf.DUMMYFUNCTION("""COMPUTED_VALUE"""),"Blickfeld GmbH")</f>
        <v>Blickfeld GmbH</v>
      </c>
      <c r="F598" s="7" t="str">
        <f>IFERROR(__xludf.DUMMYFUNCTION("""COMPUTED_VALUE"""),"None")</f>
        <v>None</v>
      </c>
      <c r="G598" s="7" t="str">
        <f>IFERROR(__xludf.DUMMYFUNCTION("""COMPUTED_VALUE"""),"No salary data")</f>
        <v>No salary data</v>
      </c>
      <c r="H598" s="7" t="str">
        <f>IFERROR(__xludf.DUMMYFUNCTION("""COMPUTED_VALUE"""),"No salary data")</f>
        <v>No salary data</v>
      </c>
      <c r="I598" s="7" t="str">
        <f>IFERROR(__xludf.DUMMYFUNCTION("""COMPUTED_VALUE"""),"No salary data")</f>
        <v>No salary data</v>
      </c>
      <c r="J598" s="7" t="str">
        <f>IFERROR(__xludf.DUMMYFUNCTION("""COMPUTED_VALUE"""),"Linux")</f>
        <v>Linux</v>
      </c>
      <c r="K598" s="7" t="str">
        <f>IFERROR(__xludf.DUMMYFUNCTION("""COMPUTED_VALUE"""),"No job type data")</f>
        <v>No job type data</v>
      </c>
      <c r="L598" s="7" t="str">
        <f>IFERROR(__xludf.DUMMYFUNCTION("""COMPUTED_VALUE"""),"4,5")</f>
        <v>4,5</v>
      </c>
      <c r="M598" s="7"/>
      <c r="N598" s="7"/>
      <c r="O598" s="7"/>
    </row>
    <row r="599">
      <c r="A599" s="29">
        <f>IFERROR(__xludf.DUMMYFUNCTION("""COMPUTED_VALUE"""),595.0)</f>
        <v>595</v>
      </c>
      <c r="B599" s="7" t="str">
        <f>IFERROR(__xludf.DUMMYFUNCTION("""COMPUTED_VALUE"""),"Vor mehr als 30 Tagen")</f>
        <v>Vor mehr als 30 Tagen</v>
      </c>
      <c r="C599" s="7" t="str">
        <f>IFERROR(__xludf.DUMMYFUNCTION("""COMPUTED_VALUE"""),"Product Analyst")</f>
        <v>Product Analyst</v>
      </c>
      <c r="D599" s="7" t="str">
        <f>IFERROR(__xludf.DUMMYFUNCTION("""COMPUTED_VALUE"""),"München")</f>
        <v>München</v>
      </c>
      <c r="E599" s="7" t="str">
        <f>IFERROR(__xludf.DUMMYFUNCTION("""COMPUTED_VALUE"""),"Kaia Health Software GmbH")</f>
        <v>Kaia Health Software GmbH</v>
      </c>
      <c r="F599" s="7" t="str">
        <f>IFERROR(__xludf.DUMMYFUNCTION("""COMPUTED_VALUE"""),"None")</f>
        <v>None</v>
      </c>
      <c r="G599" s="7" t="str">
        <f>IFERROR(__xludf.DUMMYFUNCTION("""COMPUTED_VALUE"""),"No salary data")</f>
        <v>No salary data</v>
      </c>
      <c r="H599" s="7" t="str">
        <f>IFERROR(__xludf.DUMMYFUNCTION("""COMPUTED_VALUE"""),"No salary data")</f>
        <v>No salary data</v>
      </c>
      <c r="I599" s="7" t="str">
        <f>IFERROR(__xludf.DUMMYFUNCTION("""COMPUTED_VALUE"""),"No salary data")</f>
        <v>No salary data</v>
      </c>
      <c r="J599" s="7" t="str">
        <f>IFERROR(__xludf.DUMMYFUNCTION("""COMPUTED_VALUE"""),"Python, SQL, Excel, Machine Learning, Statistic, Git")</f>
        <v>Python, SQL, Excel, Machine Learning, Statistic, Git</v>
      </c>
      <c r="K599" s="7" t="str">
        <f>IFERROR(__xludf.DUMMYFUNCTION("""COMPUTED_VALUE"""),"No job type data")</f>
        <v>No job type data</v>
      </c>
      <c r="L599" s="7" t="str">
        <f>IFERROR(__xludf.DUMMYFUNCTION("""COMPUTED_VALUE"""),"None")</f>
        <v>None</v>
      </c>
      <c r="M599" s="7"/>
      <c r="N599" s="7"/>
      <c r="O599" s="7"/>
    </row>
    <row r="600">
      <c r="A600" s="29">
        <f>IFERROR(__xludf.DUMMYFUNCTION("""COMPUTED_VALUE"""),596.0)</f>
        <v>596</v>
      </c>
      <c r="B600" s="7" t="str">
        <f>IFERROR(__xludf.DUMMYFUNCTION("""COMPUTED_VALUE"""),"Vor mehr als 30 Tagen")</f>
        <v>Vor mehr als 30 Tagen</v>
      </c>
      <c r="C600" s="7" t="str">
        <f>IFERROR(__xludf.DUMMYFUNCTION("""COMPUTED_VALUE"""),"Data Engineer (m/f/d)")</f>
        <v>Data Engineer (m/f/d)</v>
      </c>
      <c r="D600" s="7" t="str">
        <f>IFERROR(__xludf.DUMMYFUNCTION("""COMPUTED_VALUE"""),"Berlin")</f>
        <v>Berlin</v>
      </c>
      <c r="E600" s="7" t="str">
        <f>IFERROR(__xludf.DUMMYFUNCTION("""COMPUTED_VALUE"""),"infarm")</f>
        <v>infarm</v>
      </c>
      <c r="F600" s="7" t="str">
        <f>IFERROR(__xludf.DUMMYFUNCTION("""COMPUTED_VALUE"""),"None")</f>
        <v>None</v>
      </c>
      <c r="G600" s="7" t="str">
        <f>IFERROR(__xludf.DUMMYFUNCTION("""COMPUTED_VALUE"""),"No salary data")</f>
        <v>No salary data</v>
      </c>
      <c r="H600" s="7" t="str">
        <f>IFERROR(__xludf.DUMMYFUNCTION("""COMPUTED_VALUE"""),"No salary data")</f>
        <v>No salary data</v>
      </c>
      <c r="I600" s="7" t="str">
        <f>IFERROR(__xludf.DUMMYFUNCTION("""COMPUTED_VALUE"""),"No salary data")</f>
        <v>No salary data</v>
      </c>
      <c r="J600" s="7" t="str">
        <f>IFERROR(__xludf.DUMMYFUNCTION("""COMPUTED_VALUE"""),"Python")</f>
        <v>Python</v>
      </c>
      <c r="K600" s="7" t="str">
        <f>IFERROR(__xludf.DUMMYFUNCTION("""COMPUTED_VALUE"""),"No job type data")</f>
        <v>No job type data</v>
      </c>
      <c r="L600" s="7" t="str">
        <f>IFERROR(__xludf.DUMMYFUNCTION("""COMPUTED_VALUE"""),"None")</f>
        <v>None</v>
      </c>
      <c r="M600" s="7"/>
      <c r="N600" s="7"/>
      <c r="O600" s="7"/>
    </row>
    <row r="601">
      <c r="A601" s="29">
        <f>IFERROR(__xludf.DUMMYFUNCTION("""COMPUTED_VALUE"""),597.0)</f>
        <v>597</v>
      </c>
      <c r="B601" s="7" t="str">
        <f>IFERROR(__xludf.DUMMYFUNCTION("""COMPUTED_VALUE"""),"Vor mehr als 30 Tagen")</f>
        <v>Vor mehr als 30 Tagen</v>
      </c>
      <c r="C601" s="7" t="str">
        <f>IFERROR(__xludf.DUMMYFUNCTION("""COMPUTED_VALUE"""),"Data Engineer")</f>
        <v>Data Engineer</v>
      </c>
      <c r="D601" s="7" t="str">
        <f>IFERROR(__xludf.DUMMYFUNCTION("""COMPUTED_VALUE"""),"Berlin")</f>
        <v>Berlin</v>
      </c>
      <c r="E601" s="7" t="str">
        <f>IFERROR(__xludf.DUMMYFUNCTION("""COMPUTED_VALUE"""),"lengoo GmbH")</f>
        <v>lengoo GmbH</v>
      </c>
      <c r="F601" s="7" t="str">
        <f>IFERROR(__xludf.DUMMYFUNCTION("""COMPUTED_VALUE"""),"None")</f>
        <v>None</v>
      </c>
      <c r="G601" s="7" t="str">
        <f>IFERROR(__xludf.DUMMYFUNCTION("""COMPUTED_VALUE"""),"No salary data")</f>
        <v>No salary data</v>
      </c>
      <c r="H601" s="7" t="str">
        <f>IFERROR(__xludf.DUMMYFUNCTION("""COMPUTED_VALUE"""),"No salary data")</f>
        <v>No salary data</v>
      </c>
      <c r="I601" s="7" t="str">
        <f>IFERROR(__xludf.DUMMYFUNCTION("""COMPUTED_VALUE"""),"No salary data")</f>
        <v>No salary data</v>
      </c>
      <c r="J601" s="7" t="str">
        <f>IFERROR(__xludf.DUMMYFUNCTION("""COMPUTED_VALUE"""),"Python, Machine Learning, Git, Linux, Agile")</f>
        <v>Python, Machine Learning, Git, Linux, Agile</v>
      </c>
      <c r="K601" s="7" t="str">
        <f>IFERROR(__xludf.DUMMYFUNCTION("""COMPUTED_VALUE"""),"No job type data")</f>
        <v>No job type data</v>
      </c>
      <c r="L601" s="7" t="str">
        <f>IFERROR(__xludf.DUMMYFUNCTION("""COMPUTED_VALUE"""),"None")</f>
        <v>None</v>
      </c>
      <c r="M601" s="7"/>
      <c r="N601" s="7"/>
      <c r="O601" s="7"/>
    </row>
    <row r="602">
      <c r="A602" s="29">
        <f>IFERROR(__xludf.DUMMYFUNCTION("""COMPUTED_VALUE"""),598.0)</f>
        <v>598</v>
      </c>
      <c r="B602" s="7" t="str">
        <f>IFERROR(__xludf.DUMMYFUNCTION("""COMPUTED_VALUE"""),"Vor mehr als 30 Tagen")</f>
        <v>Vor mehr als 30 Tagen</v>
      </c>
      <c r="C602" s="7" t="str">
        <f>IFERROR(__xludf.DUMMYFUNCTION("""COMPUTED_VALUE"""),"Associate Data Operations Lead - Link")</f>
        <v>Associate Data Operations Lead - Link</v>
      </c>
      <c r="D602" s="7" t="str">
        <f>IFERROR(__xludf.DUMMYFUNCTION("""COMPUTED_VALUE"""),"Frankfurt am Main")</f>
        <v>Frankfurt am Main</v>
      </c>
      <c r="E602" s="7" t="str">
        <f>IFERROR(__xludf.DUMMYFUNCTION("""COMPUTED_VALUE"""),"Veeva Systems")</f>
        <v>Veeva Systems</v>
      </c>
      <c r="F602" s="7" t="str">
        <f>IFERROR(__xludf.DUMMYFUNCTION("""COMPUTED_VALUE"""),"None")</f>
        <v>None</v>
      </c>
      <c r="G602" s="7" t="str">
        <f>IFERROR(__xludf.DUMMYFUNCTION("""COMPUTED_VALUE"""),"No salary data")</f>
        <v>No salary data</v>
      </c>
      <c r="H602" s="7" t="str">
        <f>IFERROR(__xludf.DUMMYFUNCTION("""COMPUTED_VALUE"""),"No salary data")</f>
        <v>No salary data</v>
      </c>
      <c r="I602" s="7" t="str">
        <f>IFERROR(__xludf.DUMMYFUNCTION("""COMPUTED_VALUE"""),"No salary data")</f>
        <v>No salary data</v>
      </c>
      <c r="J602" s="7" t="str">
        <f>IFERROR(__xludf.DUMMYFUNCTION("""COMPUTED_VALUE"""),"Excel")</f>
        <v>Excel</v>
      </c>
      <c r="K602" s="7" t="str">
        <f>IFERROR(__xludf.DUMMYFUNCTION("""COMPUTED_VALUE"""),"No job type data")</f>
        <v>No job type data</v>
      </c>
      <c r="L602" s="7" t="str">
        <f>IFERROR(__xludf.DUMMYFUNCTION("""COMPUTED_VALUE"""),"None")</f>
        <v>None</v>
      </c>
      <c r="M602" s="7"/>
      <c r="N602" s="7"/>
      <c r="O602" s="7"/>
    </row>
    <row r="603">
      <c r="A603" s="29">
        <f>IFERROR(__xludf.DUMMYFUNCTION("""COMPUTED_VALUE"""),599.0)</f>
        <v>599</v>
      </c>
      <c r="B603" s="7" t="str">
        <f>IFERROR(__xludf.DUMMYFUNCTION("""COMPUTED_VALUE"""),"vor 3 Tagen")</f>
        <v>vor 3 Tagen</v>
      </c>
      <c r="C603" s="7" t="str">
        <f>IFERROR(__xludf.DUMMYFUNCTION("""COMPUTED_VALUE"""),"Praktikant / Werkstudent Data Engineering*")</f>
        <v>Praktikant / Werkstudent Data Engineering*</v>
      </c>
      <c r="D603" s="7" t="str">
        <f>IFERROR(__xludf.DUMMYFUNCTION("""COMPUTED_VALUE"""),"München")</f>
        <v>München</v>
      </c>
      <c r="E603" s="7" t="str">
        <f>IFERROR(__xludf.DUMMYFUNCTION("""COMPUTED_VALUE"""),"FELD M GmbH")</f>
        <v>FELD M GmbH</v>
      </c>
      <c r="F603" s="7" t="str">
        <f>IFERROR(__xludf.DUMMYFUNCTION("""COMPUTED_VALUE"""),"None")</f>
        <v>None</v>
      </c>
      <c r="G603" s="7" t="str">
        <f>IFERROR(__xludf.DUMMYFUNCTION("""COMPUTED_VALUE"""),"No salary data")</f>
        <v>No salary data</v>
      </c>
      <c r="H603" s="7" t="str">
        <f>IFERROR(__xludf.DUMMYFUNCTION("""COMPUTED_VALUE"""),"No salary data")</f>
        <v>No salary data</v>
      </c>
      <c r="I603" s="7" t="str">
        <f>IFERROR(__xludf.DUMMYFUNCTION("""COMPUTED_VALUE"""),"No salary data")</f>
        <v>No salary data</v>
      </c>
      <c r="J603" s="7"/>
      <c r="K603" s="7" t="str">
        <f>IFERROR(__xludf.DUMMYFUNCTION("""COMPUTED_VALUE"""),"No job type data")</f>
        <v>No job type data</v>
      </c>
      <c r="L603" s="7" t="str">
        <f>IFERROR(__xludf.DUMMYFUNCTION("""COMPUTED_VALUE"""),"None")</f>
        <v>None</v>
      </c>
      <c r="M603" s="7"/>
      <c r="N603" s="7"/>
      <c r="O603" s="7"/>
    </row>
    <row r="604">
      <c r="A604" s="29">
        <f>IFERROR(__xludf.DUMMYFUNCTION("""COMPUTED_VALUE"""),600.0)</f>
        <v>600</v>
      </c>
      <c r="B604" s="7" t="str">
        <f>IFERROR(__xludf.DUMMYFUNCTION("""COMPUTED_VALUE"""),"vor 21 Tagen")</f>
        <v>vor 21 Tagen</v>
      </c>
      <c r="C604" s="7" t="str">
        <f>IFERROR(__xludf.DUMMYFUNCTION("""COMPUTED_VALUE"""),"Full-time opportunities for students &amp; recent graduates: Tec...")</f>
        <v>Full-time opportunities for students &amp; recent graduates: Tec...</v>
      </c>
      <c r="D604" s="7" t="str">
        <f>IFERROR(__xludf.DUMMYFUNCTION("""COMPUTED_VALUE"""),"München")</f>
        <v>München</v>
      </c>
      <c r="E604" s="7" t="str">
        <f>IFERROR(__xludf.DUMMYFUNCTION("""COMPUTED_VALUE"""),"Microsoft")</f>
        <v>Microsoft</v>
      </c>
      <c r="F604" s="7" t="str">
        <f>IFERROR(__xludf.DUMMYFUNCTION("""COMPUTED_VALUE"""),"None")</f>
        <v>None</v>
      </c>
      <c r="G604" s="7" t="str">
        <f>IFERROR(__xludf.DUMMYFUNCTION("""COMPUTED_VALUE"""),"No salary data")</f>
        <v>No salary data</v>
      </c>
      <c r="H604" s="7" t="str">
        <f>IFERROR(__xludf.DUMMYFUNCTION("""COMPUTED_VALUE"""),"No salary data")</f>
        <v>No salary data</v>
      </c>
      <c r="I604" s="7" t="str">
        <f>IFERROR(__xludf.DUMMYFUNCTION("""COMPUTED_VALUE"""),"No salary data")</f>
        <v>No salary data</v>
      </c>
      <c r="J604" s="7" t="str">
        <f>IFERROR(__xludf.DUMMYFUNCTION("""COMPUTED_VALUE"""),"Excel, Machine Learning, Git")</f>
        <v>Excel, Machine Learning, Git</v>
      </c>
      <c r="K604" s="7" t="str">
        <f>IFERROR(__xludf.DUMMYFUNCTION("""COMPUTED_VALUE"""),"Contract")</f>
        <v>Contract</v>
      </c>
      <c r="L604" s="7" t="str">
        <f>IFERROR(__xludf.DUMMYFUNCTION("""COMPUTED_VALUE"""),"4,2")</f>
        <v>4,2</v>
      </c>
      <c r="M604" s="7"/>
      <c r="N604" s="7"/>
      <c r="O604" s="7"/>
    </row>
    <row r="605">
      <c r="A605" s="29">
        <f>IFERROR(__xludf.DUMMYFUNCTION("""COMPUTED_VALUE"""),601.0)</f>
        <v>601</v>
      </c>
      <c r="B605" s="7" t="str">
        <f>IFERROR(__xludf.DUMMYFUNCTION("""COMPUTED_VALUE"""),"Vor mehr als 30 Tagen")</f>
        <v>Vor mehr als 30 Tagen</v>
      </c>
      <c r="C605" s="7" t="str">
        <f>IFERROR(__xludf.DUMMYFUNCTION("""COMPUTED_VALUE"""),"Data Engineer (f/m/x)")</f>
        <v>Data Engineer (f/m/x)</v>
      </c>
      <c r="D605" s="7" t="str">
        <f>IFERROR(__xludf.DUMMYFUNCTION("""COMPUTED_VALUE"""),"Berlin")</f>
        <v>Berlin</v>
      </c>
      <c r="E605" s="7" t="str">
        <f>IFERROR(__xludf.DUMMYFUNCTION("""COMPUTED_VALUE"""),"diconium group")</f>
        <v>diconium group</v>
      </c>
      <c r="F605" s="7" t="str">
        <f>IFERROR(__xludf.DUMMYFUNCTION("""COMPUTED_VALUE"""),"None")</f>
        <v>None</v>
      </c>
      <c r="G605" s="7" t="str">
        <f>IFERROR(__xludf.DUMMYFUNCTION("""COMPUTED_VALUE"""),"No salary data")</f>
        <v>No salary data</v>
      </c>
      <c r="H605" s="7" t="str">
        <f>IFERROR(__xludf.DUMMYFUNCTION("""COMPUTED_VALUE"""),"No salary data")</f>
        <v>No salary data</v>
      </c>
      <c r="I605" s="7" t="str">
        <f>IFERROR(__xludf.DUMMYFUNCTION("""COMPUTED_VALUE"""),"No salary data")</f>
        <v>No salary data</v>
      </c>
      <c r="J605" s="7" t="str">
        <f>IFERROR(__xludf.DUMMYFUNCTION("""COMPUTED_VALUE"""),"Python, Git, Agile")</f>
        <v>Python, Git, Agile</v>
      </c>
      <c r="K605" s="7" t="str">
        <f>IFERROR(__xludf.DUMMYFUNCTION("""COMPUTED_VALUE"""),"No job type data")</f>
        <v>No job type data</v>
      </c>
      <c r="L605" s="7" t="str">
        <f>IFERROR(__xludf.DUMMYFUNCTION("""COMPUTED_VALUE"""),"3,0")</f>
        <v>3,0</v>
      </c>
      <c r="M605" s="7"/>
      <c r="N605" s="7"/>
      <c r="O605" s="7"/>
    </row>
    <row r="606">
      <c r="A606" s="29">
        <f>IFERROR(__xludf.DUMMYFUNCTION("""COMPUTED_VALUE"""),602.0)</f>
        <v>602</v>
      </c>
      <c r="B606" s="7" t="str">
        <f>IFERROR(__xludf.DUMMYFUNCTION("""COMPUTED_VALUE"""),"Vor mehr als 30 Tagen")</f>
        <v>Vor mehr als 30 Tagen</v>
      </c>
      <c r="C606" s="7" t="str">
        <f>IFERROR(__xludf.DUMMYFUNCTION("""COMPUTED_VALUE"""),"Koordinator Data Analytics (m/w/d)")</f>
        <v>Koordinator Data Analytics (m/w/d)</v>
      </c>
      <c r="D606" s="7" t="str">
        <f>IFERROR(__xludf.DUMMYFUNCTION("""COMPUTED_VALUE"""),"Augsburg")</f>
        <v>Augsburg</v>
      </c>
      <c r="E606" s="7" t="str">
        <f>IFERROR(__xludf.DUMMYFUNCTION("""COMPUTED_VALUE"""),"RENK AG Jobboard")</f>
        <v>RENK AG Jobboard</v>
      </c>
      <c r="F606" s="7" t="str">
        <f>IFERROR(__xludf.DUMMYFUNCTION("""COMPUTED_VALUE"""),"None")</f>
        <v>None</v>
      </c>
      <c r="G606" s="7" t="str">
        <f>IFERROR(__xludf.DUMMYFUNCTION("""COMPUTED_VALUE"""),"No salary data")</f>
        <v>No salary data</v>
      </c>
      <c r="H606" s="7" t="str">
        <f>IFERROR(__xludf.DUMMYFUNCTION("""COMPUTED_VALUE"""),"No salary data")</f>
        <v>No salary data</v>
      </c>
      <c r="I606" s="7" t="str">
        <f>IFERROR(__xludf.DUMMYFUNCTION("""COMPUTED_VALUE"""),"No salary data")</f>
        <v>No salary data</v>
      </c>
      <c r="J606" s="7" t="str">
        <f>IFERROR(__xludf.DUMMYFUNCTION("""COMPUTED_VALUE"""),"Python, Machine Learning, Git, Agile, Scrum")</f>
        <v>Python, Machine Learning, Git, Agile, Scrum</v>
      </c>
      <c r="K606" s="7" t="str">
        <f>IFERROR(__xludf.DUMMYFUNCTION("""COMPUTED_VALUE"""),"No job type data")</f>
        <v>No job type data</v>
      </c>
      <c r="L606" s="7" t="str">
        <f>IFERROR(__xludf.DUMMYFUNCTION("""COMPUTED_VALUE"""),"None")</f>
        <v>None</v>
      </c>
      <c r="M606" s="7"/>
      <c r="N606" s="7"/>
      <c r="O606" s="7"/>
    </row>
    <row r="607">
      <c r="A607" s="29">
        <f>IFERROR(__xludf.DUMMYFUNCTION("""COMPUTED_VALUE"""),603.0)</f>
        <v>603</v>
      </c>
      <c r="B607" s="7" t="str">
        <f>IFERROR(__xludf.DUMMYFUNCTION("""COMPUTED_VALUE"""),"vor 26 Tagen")</f>
        <v>vor 26 Tagen</v>
      </c>
      <c r="C607" s="7" t="str">
        <f>IFERROR(__xludf.DUMMYFUNCTION("""COMPUTED_VALUE"""),"Expert Master Data Management (m/w/d)")</f>
        <v>Expert Master Data Management (m/w/d)</v>
      </c>
      <c r="D607" s="7" t="str">
        <f>IFERROR(__xludf.DUMMYFUNCTION("""COMPUTED_VALUE"""),"Freising")</f>
        <v>Freising</v>
      </c>
      <c r="E607" s="7" t="str">
        <f>IFERROR(__xludf.DUMMYFUNCTION("""COMPUTED_VALUE"""),"Unternehmensgruppe Theo Müller")</f>
        <v>Unternehmensgruppe Theo Müller</v>
      </c>
      <c r="F607" s="7" t="str">
        <f>IFERROR(__xludf.DUMMYFUNCTION("""COMPUTED_VALUE"""),"None")</f>
        <v>None</v>
      </c>
      <c r="G607" s="7" t="str">
        <f>IFERROR(__xludf.DUMMYFUNCTION("""COMPUTED_VALUE"""),"No salary data")</f>
        <v>No salary data</v>
      </c>
      <c r="H607" s="7" t="str">
        <f>IFERROR(__xludf.DUMMYFUNCTION("""COMPUTED_VALUE"""),"No salary data")</f>
        <v>No salary data</v>
      </c>
      <c r="I607" s="7" t="str">
        <f>IFERROR(__xludf.DUMMYFUNCTION("""COMPUTED_VALUE"""),"No salary data")</f>
        <v>No salary data</v>
      </c>
      <c r="J607" s="7"/>
      <c r="K607" s="7" t="str">
        <f>IFERROR(__xludf.DUMMYFUNCTION("""COMPUTED_VALUE"""),"No job type data")</f>
        <v>No job type data</v>
      </c>
      <c r="L607" s="7" t="str">
        <f>IFERROR(__xludf.DUMMYFUNCTION("""COMPUTED_VALUE"""),"2,3")</f>
        <v>2,3</v>
      </c>
      <c r="M607" s="7"/>
      <c r="N607" s="7"/>
      <c r="O607" s="7"/>
    </row>
    <row r="608">
      <c r="A608" s="29">
        <f>IFERROR(__xludf.DUMMYFUNCTION("""COMPUTED_VALUE"""),604.0)</f>
        <v>604</v>
      </c>
      <c r="B608" s="7" t="str">
        <f>IFERROR(__xludf.DUMMYFUNCTION("""COMPUTED_VALUE"""),"vor 17 Tagen")</f>
        <v>vor 17 Tagen</v>
      </c>
      <c r="C608" s="7" t="str">
        <f>IFERROR(__xludf.DUMMYFUNCTION("""COMPUTED_VALUE"""),"Data Analyst/Engineer (m/w/d) - Ab Initio")</f>
        <v>Data Analyst/Engineer (m/w/d) - Ab Initio</v>
      </c>
      <c r="D608" s="7" t="str">
        <f>IFERROR(__xludf.DUMMYFUNCTION("""COMPUTED_VALUE"""),"Frankfurt am Main")</f>
        <v>Frankfurt am Main</v>
      </c>
      <c r="E608" s="7" t="str">
        <f>IFERROR(__xludf.DUMMYFUNCTION("""COMPUTED_VALUE"""),"SKS Unternehmensberatung")</f>
        <v>SKS Unternehmensberatung</v>
      </c>
      <c r="F608" s="7" t="str">
        <f>IFERROR(__xludf.DUMMYFUNCTION("""COMPUTED_VALUE"""),"None")</f>
        <v>None</v>
      </c>
      <c r="G608" s="7" t="str">
        <f>IFERROR(__xludf.DUMMYFUNCTION("""COMPUTED_VALUE"""),"No salary data")</f>
        <v>No salary data</v>
      </c>
      <c r="H608" s="7" t="str">
        <f>IFERROR(__xludf.DUMMYFUNCTION("""COMPUTED_VALUE"""),"No salary data")</f>
        <v>No salary data</v>
      </c>
      <c r="I608" s="7" t="str">
        <f>IFERROR(__xludf.DUMMYFUNCTION("""COMPUTED_VALUE"""),"No salary data")</f>
        <v>No salary data</v>
      </c>
      <c r="J608" s="7" t="str">
        <f>IFERROR(__xludf.DUMMYFUNCTION("""COMPUTED_VALUE"""),"Python, SQL")</f>
        <v>Python, SQL</v>
      </c>
      <c r="K608" s="7" t="str">
        <f>IFERROR(__xludf.DUMMYFUNCTION("""COMPUTED_VALUE"""),"No job type data")</f>
        <v>No job type data</v>
      </c>
      <c r="L608" s="7" t="str">
        <f>IFERROR(__xludf.DUMMYFUNCTION("""COMPUTED_VALUE"""),"None")</f>
        <v>None</v>
      </c>
      <c r="M608" s="7"/>
      <c r="N608" s="7"/>
      <c r="O608" s="7"/>
    </row>
    <row r="609">
      <c r="A609" s="29">
        <f>IFERROR(__xludf.DUMMYFUNCTION("""COMPUTED_VALUE"""),605.0)</f>
        <v>605</v>
      </c>
      <c r="B609" s="7" t="str">
        <f>IFERROR(__xludf.DUMMYFUNCTION("""COMPUTED_VALUE"""),"Heute")</f>
        <v>Heute</v>
      </c>
      <c r="C609" s="7" t="str">
        <f>IFERROR(__xludf.DUMMYFUNCTION("""COMPUTED_VALUE"""),"Trainee Program - Digital Finance (f/m/d)")</f>
        <v>Trainee Program - Digital Finance (f/m/d)</v>
      </c>
      <c r="D609" s="7" t="str">
        <f>IFERROR(__xludf.DUMMYFUNCTION("""COMPUTED_VALUE"""),"Düsseldorf")</f>
        <v>Düsseldorf</v>
      </c>
      <c r="E609" s="7" t="str">
        <f>IFERROR(__xludf.DUMMYFUNCTION("""COMPUTED_VALUE"""),"Uniper")</f>
        <v>Uniper</v>
      </c>
      <c r="F609" s="7" t="str">
        <f>IFERROR(__xludf.DUMMYFUNCTION("""COMPUTED_VALUE"""),"None")</f>
        <v>None</v>
      </c>
      <c r="G609" s="7" t="str">
        <f>IFERROR(__xludf.DUMMYFUNCTION("""COMPUTED_VALUE"""),"No salary data")</f>
        <v>No salary data</v>
      </c>
      <c r="H609" s="7" t="str">
        <f>IFERROR(__xludf.DUMMYFUNCTION("""COMPUTED_VALUE"""),"No salary data")</f>
        <v>No salary data</v>
      </c>
      <c r="I609" s="7" t="str">
        <f>IFERROR(__xludf.DUMMYFUNCTION("""COMPUTED_VALUE"""),"No salary data")</f>
        <v>No salary data</v>
      </c>
      <c r="J609" s="7"/>
      <c r="K609" s="7" t="str">
        <f>IFERROR(__xludf.DUMMYFUNCTION("""COMPUTED_VALUE"""),"No job type data")</f>
        <v>No job type data</v>
      </c>
      <c r="L609" s="7" t="str">
        <f>IFERROR(__xludf.DUMMYFUNCTION("""COMPUTED_VALUE"""),"4,0")</f>
        <v>4,0</v>
      </c>
      <c r="M609" s="7"/>
      <c r="N609" s="7"/>
      <c r="O609" s="7"/>
    </row>
    <row r="610">
      <c r="A610" s="29">
        <f>IFERROR(__xludf.DUMMYFUNCTION("""COMPUTED_VALUE"""),606.0)</f>
        <v>606</v>
      </c>
      <c r="B610" s="7" t="str">
        <f>IFERROR(__xludf.DUMMYFUNCTION("""COMPUTED_VALUE"""),"vor 6 Tagen")</f>
        <v>vor 6 Tagen</v>
      </c>
      <c r="C610" s="7" t="str">
        <f>IFERROR(__xludf.DUMMYFUNCTION("""COMPUTED_VALUE"""),"Multilingual Research Analyst")</f>
        <v>Multilingual Research Analyst</v>
      </c>
      <c r="D610" s="7" t="str">
        <f>IFERROR(__xludf.DUMMYFUNCTION("""COMPUTED_VALUE"""),"Mettmann")</f>
        <v>Mettmann</v>
      </c>
      <c r="E610" s="7" t="str">
        <f>IFERROR(__xludf.DUMMYFUNCTION("""COMPUTED_VALUE"""),"Herrmann Global")</f>
        <v>Herrmann Global</v>
      </c>
      <c r="F610" s="7" t="str">
        <f>IFERROR(__xludf.DUMMYFUNCTION("""COMPUTED_VALUE"""),"1,000 € - 3,000 € pro Monat")</f>
        <v>1,000 € - 3,000 € pro Monat</v>
      </c>
      <c r="G610" s="7">
        <f>IFERROR(__xludf.DUMMYFUNCTION("""COMPUTED_VALUE"""),2000.0)</f>
        <v>2000</v>
      </c>
      <c r="H610" s="7" t="str">
        <f>IFERROR(__xludf.DUMMYFUNCTION("""COMPUTED_VALUE"""),"Monat")</f>
        <v>Monat</v>
      </c>
      <c r="I610" s="7">
        <f>IFERROR(__xludf.DUMMYFUNCTION("""COMPUTED_VALUE"""),24000.0)</f>
        <v>24000</v>
      </c>
      <c r="J610" s="7" t="str">
        <f>IFERROR(__xludf.DUMMYFUNCTION("""COMPUTED_VALUE"""),"Git")</f>
        <v>Git</v>
      </c>
      <c r="K610" s="7" t="str">
        <f>IFERROR(__xludf.DUMMYFUNCTION("""COMPUTED_VALUE"""),"Full-Time")</f>
        <v>Full-Time</v>
      </c>
      <c r="L610" s="7" t="str">
        <f>IFERROR(__xludf.DUMMYFUNCTION("""COMPUTED_VALUE"""),"None")</f>
        <v>None</v>
      </c>
      <c r="M610" s="7"/>
      <c r="N610" s="7"/>
      <c r="O610" s="7"/>
    </row>
    <row r="611">
      <c r="A611" s="29">
        <f>IFERROR(__xludf.DUMMYFUNCTION("""COMPUTED_VALUE"""),607.0)</f>
        <v>607</v>
      </c>
      <c r="B611" s="7" t="str">
        <f>IFERROR(__xludf.DUMMYFUNCTION("""COMPUTED_VALUE"""),"vor 10 Tagen")</f>
        <v>vor 10 Tagen</v>
      </c>
      <c r="C611" s="7" t="str">
        <f>IFERROR(__xludf.DUMMYFUNCTION("""COMPUTED_VALUE"""),"BI specialist (internal) focus on data visualization")</f>
        <v>BI specialist (internal) focus on data visualization</v>
      </c>
      <c r="D611" s="7" t="str">
        <f>IFERROR(__xludf.DUMMYFUNCTION("""COMPUTED_VALUE"""),"Nürnberg")</f>
        <v>Nürnberg</v>
      </c>
      <c r="E611" s="7" t="str">
        <f>IFERROR(__xludf.DUMMYFUNCTION("""COMPUTED_VALUE"""),"Paessler AG")</f>
        <v>Paessler AG</v>
      </c>
      <c r="F611" s="7" t="str">
        <f>IFERROR(__xludf.DUMMYFUNCTION("""COMPUTED_VALUE"""),"None")</f>
        <v>None</v>
      </c>
      <c r="G611" s="7" t="str">
        <f>IFERROR(__xludf.DUMMYFUNCTION("""COMPUTED_VALUE"""),"No salary data")</f>
        <v>No salary data</v>
      </c>
      <c r="H611" s="7" t="str">
        <f>IFERROR(__xludf.DUMMYFUNCTION("""COMPUTED_VALUE"""),"No salary data")</f>
        <v>No salary data</v>
      </c>
      <c r="I611" s="7" t="str">
        <f>IFERROR(__xludf.DUMMYFUNCTION("""COMPUTED_VALUE"""),"No salary data")</f>
        <v>No salary data</v>
      </c>
      <c r="J611" s="7" t="str">
        <f>IFERROR(__xludf.DUMMYFUNCTION("""COMPUTED_VALUE"""),"SQL, Tableau")</f>
        <v>SQL, Tableau</v>
      </c>
      <c r="K611" s="7" t="str">
        <f>IFERROR(__xludf.DUMMYFUNCTION("""COMPUTED_VALUE"""),"No job type data")</f>
        <v>No job type data</v>
      </c>
      <c r="L611" s="7" t="str">
        <f>IFERROR(__xludf.DUMMYFUNCTION("""COMPUTED_VALUE"""),"None")</f>
        <v>None</v>
      </c>
      <c r="M611" s="7"/>
      <c r="N611" s="7"/>
      <c r="O611" s="7"/>
    </row>
    <row r="612">
      <c r="A612" s="29">
        <f>IFERROR(__xludf.DUMMYFUNCTION("""COMPUTED_VALUE"""),608.0)</f>
        <v>608</v>
      </c>
      <c r="B612" s="7" t="str">
        <f>IFERROR(__xludf.DUMMYFUNCTION("""COMPUTED_VALUE"""),"vor 26 Tagen")</f>
        <v>vor 26 Tagen</v>
      </c>
      <c r="C612" s="7" t="str">
        <f>IFERROR(__xludf.DUMMYFUNCTION("""COMPUTED_VALUE"""),"Data Scientist Pricing (m/w/d)")</f>
        <v>Data Scientist Pricing (m/w/d)</v>
      </c>
      <c r="D612" s="7" t="str">
        <f>IFERROR(__xludf.DUMMYFUNCTION("""COMPUTED_VALUE"""),"Gräfelfing")</f>
        <v>Gräfelfing</v>
      </c>
      <c r="E612" s="7" t="str">
        <f>IFERROR(__xludf.DUMMYFUNCTION("""COMPUTED_VALUE"""),"Richter+Frenzel")</f>
        <v>Richter+Frenzel</v>
      </c>
      <c r="F612" s="7" t="str">
        <f>IFERROR(__xludf.DUMMYFUNCTION("""COMPUTED_VALUE"""),"None")</f>
        <v>None</v>
      </c>
      <c r="G612" s="7" t="str">
        <f>IFERROR(__xludf.DUMMYFUNCTION("""COMPUTED_VALUE"""),"No salary data")</f>
        <v>No salary data</v>
      </c>
      <c r="H612" s="7" t="str">
        <f>IFERROR(__xludf.DUMMYFUNCTION("""COMPUTED_VALUE"""),"No salary data")</f>
        <v>No salary data</v>
      </c>
      <c r="I612" s="7" t="str">
        <f>IFERROR(__xludf.DUMMYFUNCTION("""COMPUTED_VALUE"""),"No salary data")</f>
        <v>No salary data</v>
      </c>
      <c r="J612" s="7" t="str">
        <f>IFERROR(__xludf.DUMMYFUNCTION("""COMPUTED_VALUE"""),"SQL, Statistic")</f>
        <v>SQL, Statistic</v>
      </c>
      <c r="K612" s="7" t="str">
        <f>IFERROR(__xludf.DUMMYFUNCTION("""COMPUTED_VALUE"""),"No job type data")</f>
        <v>No job type data</v>
      </c>
      <c r="L612" s="7" t="str">
        <f>IFERROR(__xludf.DUMMYFUNCTION("""COMPUTED_VALUE"""),"2,7")</f>
        <v>2,7</v>
      </c>
      <c r="M612" s="7"/>
      <c r="N612" s="7"/>
      <c r="O612" s="7"/>
    </row>
    <row r="613">
      <c r="A613" s="29">
        <f>IFERROR(__xludf.DUMMYFUNCTION("""COMPUTED_VALUE"""),609.0)</f>
        <v>609</v>
      </c>
      <c r="B613" s="7" t="str">
        <f>IFERROR(__xludf.DUMMYFUNCTION("""COMPUTED_VALUE"""),"vor 1 Tag")</f>
        <v>vor 1 Tag</v>
      </c>
      <c r="C613" s="7" t="str">
        <f>IFERROR(__xludf.DUMMYFUNCTION("""COMPUTED_VALUE"""),"Data Engineer")</f>
        <v>Data Engineer</v>
      </c>
      <c r="D613" s="7" t="str">
        <f>IFERROR(__xludf.DUMMYFUNCTION("""COMPUTED_VALUE"""),"Berlin")</f>
        <v>Berlin</v>
      </c>
      <c r="E613" s="7" t="str">
        <f>IFERROR(__xludf.DUMMYFUNCTION("""COMPUTED_VALUE"""),"Applift")</f>
        <v>Applift</v>
      </c>
      <c r="F613" s="7" t="str">
        <f>IFERROR(__xludf.DUMMYFUNCTION("""COMPUTED_VALUE"""),"None")</f>
        <v>None</v>
      </c>
      <c r="G613" s="7" t="str">
        <f>IFERROR(__xludf.DUMMYFUNCTION("""COMPUTED_VALUE"""),"No salary data")</f>
        <v>No salary data</v>
      </c>
      <c r="H613" s="7" t="str">
        <f>IFERROR(__xludf.DUMMYFUNCTION("""COMPUTED_VALUE"""),"No salary data")</f>
        <v>No salary data</v>
      </c>
      <c r="I613" s="7" t="str">
        <f>IFERROR(__xludf.DUMMYFUNCTION("""COMPUTED_VALUE"""),"No salary data")</f>
        <v>No salary data</v>
      </c>
      <c r="J613" s="7" t="str">
        <f>IFERROR(__xludf.DUMMYFUNCTION("""COMPUTED_VALUE"""),"Git")</f>
        <v>Git</v>
      </c>
      <c r="K613" s="7" t="str">
        <f>IFERROR(__xludf.DUMMYFUNCTION("""COMPUTED_VALUE"""),"No job type data")</f>
        <v>No job type data</v>
      </c>
      <c r="L613" s="7" t="str">
        <f>IFERROR(__xludf.DUMMYFUNCTION("""COMPUTED_VALUE"""),"None")</f>
        <v>None</v>
      </c>
      <c r="M613" s="7"/>
      <c r="N613" s="7"/>
      <c r="O613" s="7"/>
    </row>
    <row r="614">
      <c r="A614" s="29">
        <f>IFERROR(__xludf.DUMMYFUNCTION("""COMPUTED_VALUE"""),610.0)</f>
        <v>610</v>
      </c>
      <c r="B614" s="7" t="str">
        <f>IFERROR(__xludf.DUMMYFUNCTION("""COMPUTED_VALUE"""),"Vor mehr als 30 Tagen")</f>
        <v>Vor mehr als 30 Tagen</v>
      </c>
      <c r="C614" s="7" t="str">
        <f>IFERROR(__xludf.DUMMYFUNCTION("""COMPUTED_VALUE"""),"Physiker/ Mathematiker/ Naturwissenschaftler als Data Wareho...")</f>
        <v>Physiker/ Mathematiker/ Naturwissenschaftler als Data Wareho...</v>
      </c>
      <c r="D614" s="7" t="str">
        <f>IFERROR(__xludf.DUMMYFUNCTION("""COMPUTED_VALUE"""),"Deutschland")</f>
        <v>Deutschland</v>
      </c>
      <c r="E614" s="7" t="str">
        <f>IFERROR(__xludf.DUMMYFUNCTION("""COMPUTED_VALUE"""),"SENACOR")</f>
        <v>SENACOR</v>
      </c>
      <c r="F614" s="7" t="str">
        <f>IFERROR(__xludf.DUMMYFUNCTION("""COMPUTED_VALUE"""),"None")</f>
        <v>None</v>
      </c>
      <c r="G614" s="7" t="str">
        <f>IFERROR(__xludf.DUMMYFUNCTION("""COMPUTED_VALUE"""),"No salary data")</f>
        <v>No salary data</v>
      </c>
      <c r="H614" s="7" t="str">
        <f>IFERROR(__xludf.DUMMYFUNCTION("""COMPUTED_VALUE"""),"No salary data")</f>
        <v>No salary data</v>
      </c>
      <c r="I614" s="7" t="str">
        <f>IFERROR(__xludf.DUMMYFUNCTION("""COMPUTED_VALUE"""),"No salary data")</f>
        <v>No salary data</v>
      </c>
      <c r="J614" s="7"/>
      <c r="K614" s="7" t="str">
        <f>IFERROR(__xludf.DUMMYFUNCTION("""COMPUTED_VALUE"""),"No job type data")</f>
        <v>No job type data</v>
      </c>
      <c r="L614" s="7" t="str">
        <f>IFERROR(__xludf.DUMMYFUNCTION("""COMPUTED_VALUE"""),"None")</f>
        <v>None</v>
      </c>
      <c r="M614" s="7"/>
      <c r="N614" s="7"/>
      <c r="O614" s="7"/>
    </row>
    <row r="615">
      <c r="A615" s="29">
        <f>IFERROR(__xludf.DUMMYFUNCTION("""COMPUTED_VALUE"""),611.0)</f>
        <v>611</v>
      </c>
      <c r="B615" s="7" t="str">
        <f>IFERROR(__xludf.DUMMYFUNCTION("""COMPUTED_VALUE"""),"Vor mehr als 30 Tagen")</f>
        <v>Vor mehr als 30 Tagen</v>
      </c>
      <c r="C615" s="7" t="str">
        <f>IFERROR(__xludf.DUMMYFUNCTION("""COMPUTED_VALUE"""),"BI Data Engineer / Architect (m/w/d)")</f>
        <v>BI Data Engineer / Architect (m/w/d)</v>
      </c>
      <c r="D615" s="7" t="str">
        <f>IFERROR(__xludf.DUMMYFUNCTION("""COMPUTED_VALUE"""),"Hannover")</f>
        <v>Hannover</v>
      </c>
      <c r="E615" s="7" t="str">
        <f>IFERROR(__xludf.DUMMYFUNCTION("""COMPUTED_VALUE"""),"Volkswagen Gebrauchtfahrzeughandels und Service Gm...")</f>
        <v>Volkswagen Gebrauchtfahrzeughandels und Service Gm...</v>
      </c>
      <c r="F615" s="7" t="str">
        <f>IFERROR(__xludf.DUMMYFUNCTION("""COMPUTED_VALUE"""),"None")</f>
        <v>None</v>
      </c>
      <c r="G615" s="7" t="str">
        <f>IFERROR(__xludf.DUMMYFUNCTION("""COMPUTED_VALUE"""),"No salary data")</f>
        <v>No salary data</v>
      </c>
      <c r="H615" s="7" t="str">
        <f>IFERROR(__xludf.DUMMYFUNCTION("""COMPUTED_VALUE"""),"No salary data")</f>
        <v>No salary data</v>
      </c>
      <c r="I615" s="7" t="str">
        <f>IFERROR(__xludf.DUMMYFUNCTION("""COMPUTED_VALUE"""),"No salary data")</f>
        <v>No salary data</v>
      </c>
      <c r="J615" s="7" t="str">
        <f>IFERROR(__xludf.DUMMYFUNCTION("""COMPUTED_VALUE"""),"SQL, Agile, Scrum")</f>
        <v>SQL, Agile, Scrum</v>
      </c>
      <c r="K615" s="7" t="str">
        <f>IFERROR(__xludf.DUMMYFUNCTION("""COMPUTED_VALUE"""),"No job type data")</f>
        <v>No job type data</v>
      </c>
      <c r="L615" s="7" t="str">
        <f>IFERROR(__xludf.DUMMYFUNCTION("""COMPUTED_VALUE"""),"4,1")</f>
        <v>4,1</v>
      </c>
      <c r="M615" s="7"/>
      <c r="N615" s="7"/>
      <c r="O615" s="7"/>
    </row>
    <row r="616">
      <c r="A616" s="29">
        <f>IFERROR(__xludf.DUMMYFUNCTION("""COMPUTED_VALUE"""),612.0)</f>
        <v>612</v>
      </c>
      <c r="B616" s="7" t="str">
        <f>IFERROR(__xludf.DUMMYFUNCTION("""COMPUTED_VALUE"""),"vor 21 Tagen")</f>
        <v>vor 21 Tagen</v>
      </c>
      <c r="C616" s="7" t="str">
        <f>IFERROR(__xludf.DUMMYFUNCTION("""COMPUTED_VALUE"""),"Data Lake Solution Architect (m/f/x)")</f>
        <v>Data Lake Solution Architect (m/f/x)</v>
      </c>
      <c r="D616" s="7" t="str">
        <f>IFERROR(__xludf.DUMMYFUNCTION("""COMPUTED_VALUE"""),"Deutschland")</f>
        <v>Deutschland</v>
      </c>
      <c r="E616" s="7" t="str">
        <f>IFERROR(__xludf.DUMMYFUNCTION("""COMPUTED_VALUE"""),"Raiffeisen Capital Management")</f>
        <v>Raiffeisen Capital Management</v>
      </c>
      <c r="F616" s="7" t="str">
        <f>IFERROR(__xludf.DUMMYFUNCTION("""COMPUTED_VALUE"""),"47,000 € pro Jahr")</f>
        <v>47,000 € pro Jahr</v>
      </c>
      <c r="G616" s="7">
        <f>IFERROR(__xludf.DUMMYFUNCTION("""COMPUTED_VALUE"""),47000.0)</f>
        <v>47000</v>
      </c>
      <c r="H616" s="7" t="str">
        <f>IFERROR(__xludf.DUMMYFUNCTION("""COMPUTED_VALUE"""),"Jahr")</f>
        <v>Jahr</v>
      </c>
      <c r="I616" s="7">
        <f>IFERROR(__xludf.DUMMYFUNCTION("""COMPUTED_VALUE"""),47000.0)</f>
        <v>47000</v>
      </c>
      <c r="J616" s="7" t="str">
        <f>IFERROR(__xludf.DUMMYFUNCTION("""COMPUTED_VALUE"""),"Git, Agile")</f>
        <v>Git, Agile</v>
      </c>
      <c r="K616" s="7" t="str">
        <f>IFERROR(__xludf.DUMMYFUNCTION("""COMPUTED_VALUE"""),"No job type data")</f>
        <v>No job type data</v>
      </c>
      <c r="L616" s="7" t="str">
        <f>IFERROR(__xludf.DUMMYFUNCTION("""COMPUTED_VALUE"""),"None")</f>
        <v>None</v>
      </c>
      <c r="M616" s="7"/>
      <c r="N616" s="7"/>
      <c r="O616" s="7"/>
    </row>
    <row r="617">
      <c r="A617" s="29">
        <f>IFERROR(__xludf.DUMMYFUNCTION("""COMPUTED_VALUE"""),613.0)</f>
        <v>613</v>
      </c>
      <c r="B617" s="7" t="str">
        <f>IFERROR(__xludf.DUMMYFUNCTION("""COMPUTED_VALUE"""),"vor 21 Tagen")</f>
        <v>vor 21 Tagen</v>
      </c>
      <c r="C617" s="7" t="str">
        <f>IFERROR(__xludf.DUMMYFUNCTION("""COMPUTED_VALUE"""),"Data Architect with Azure proficiency (m/w/d)")</f>
        <v>Data Architect with Azure proficiency (m/w/d)</v>
      </c>
      <c r="D617" s="7" t="str">
        <f>IFERROR(__xludf.DUMMYFUNCTION("""COMPUTED_VALUE"""),"Berlin")</f>
        <v>Berlin</v>
      </c>
      <c r="E617" s="7" t="str">
        <f>IFERROR(__xludf.DUMMYFUNCTION("""COMPUTED_VALUE"""),"Enpal")</f>
        <v>Enpal</v>
      </c>
      <c r="F617" s="7" t="str">
        <f>IFERROR(__xludf.DUMMYFUNCTION("""COMPUTED_VALUE"""),"None")</f>
        <v>None</v>
      </c>
      <c r="G617" s="7" t="str">
        <f>IFERROR(__xludf.DUMMYFUNCTION("""COMPUTED_VALUE"""),"No salary data")</f>
        <v>No salary data</v>
      </c>
      <c r="H617" s="7" t="str">
        <f>IFERROR(__xludf.DUMMYFUNCTION("""COMPUTED_VALUE"""),"No salary data")</f>
        <v>No salary data</v>
      </c>
      <c r="I617" s="7" t="str">
        <f>IFERROR(__xludf.DUMMYFUNCTION("""COMPUTED_VALUE"""),"No salary data")</f>
        <v>No salary data</v>
      </c>
      <c r="J617" s="7" t="str">
        <f>IFERROR(__xludf.DUMMYFUNCTION("""COMPUTED_VALUE"""),"Python, SQL, Tableau, Machine Learning, Deep Learning")</f>
        <v>Python, SQL, Tableau, Machine Learning, Deep Learning</v>
      </c>
      <c r="K617" s="7" t="str">
        <f>IFERROR(__xludf.DUMMYFUNCTION("""COMPUTED_VALUE"""),"No job type data")</f>
        <v>No job type data</v>
      </c>
      <c r="L617" s="7" t="str">
        <f>IFERROR(__xludf.DUMMYFUNCTION("""COMPUTED_VALUE"""),"None")</f>
        <v>None</v>
      </c>
      <c r="M617" s="7"/>
      <c r="N617" s="7"/>
      <c r="O617" s="7"/>
    </row>
    <row r="618">
      <c r="A618" s="29">
        <f>IFERROR(__xludf.DUMMYFUNCTION("""COMPUTED_VALUE"""),614.0)</f>
        <v>614</v>
      </c>
      <c r="B618" s="7" t="str">
        <f>IFERROR(__xludf.DUMMYFUNCTION("""COMPUTED_VALUE"""),"Vor mehr als 30 Tagen")</f>
        <v>Vor mehr als 30 Tagen</v>
      </c>
      <c r="C618" s="7" t="str">
        <f>IFERROR(__xludf.DUMMYFUNCTION("""COMPUTED_VALUE"""),"Statistical Analyst (m/f/d)")</f>
        <v>Statistical Analyst (m/f/d)</v>
      </c>
      <c r="D618" s="7" t="str">
        <f>IFERROR(__xludf.DUMMYFUNCTION("""COMPUTED_VALUE"""),"Leverkusen")</f>
        <v>Leverkusen</v>
      </c>
      <c r="E618" s="7" t="str">
        <f>IFERROR(__xludf.DUMMYFUNCTION("""COMPUTED_VALUE"""),"Bayer")</f>
        <v>Bayer</v>
      </c>
      <c r="F618" s="7" t="str">
        <f>IFERROR(__xludf.DUMMYFUNCTION("""COMPUTED_VALUE"""),"None")</f>
        <v>None</v>
      </c>
      <c r="G618" s="7" t="str">
        <f>IFERROR(__xludf.DUMMYFUNCTION("""COMPUTED_VALUE"""),"No salary data")</f>
        <v>No salary data</v>
      </c>
      <c r="H618" s="7" t="str">
        <f>IFERROR(__xludf.DUMMYFUNCTION("""COMPUTED_VALUE"""),"No salary data")</f>
        <v>No salary data</v>
      </c>
      <c r="I618" s="7" t="str">
        <f>IFERROR(__xludf.DUMMYFUNCTION("""COMPUTED_VALUE"""),"No salary data")</f>
        <v>No salary data</v>
      </c>
      <c r="J618" s="7" t="str">
        <f>IFERROR(__xludf.DUMMYFUNCTION("""COMPUTED_VALUE"""),"Python, SQL, Statistic")</f>
        <v>Python, SQL, Statistic</v>
      </c>
      <c r="K618" s="7" t="str">
        <f>IFERROR(__xludf.DUMMYFUNCTION("""COMPUTED_VALUE"""),"No job type data")</f>
        <v>No job type data</v>
      </c>
      <c r="L618" s="7" t="str">
        <f>IFERROR(__xludf.DUMMYFUNCTION("""COMPUTED_VALUE"""),"4,2")</f>
        <v>4,2</v>
      </c>
      <c r="M618" s="7"/>
      <c r="N618" s="7"/>
      <c r="O618" s="7"/>
    </row>
    <row r="619">
      <c r="A619" s="29">
        <f>IFERROR(__xludf.DUMMYFUNCTION("""COMPUTED_VALUE"""),615.0)</f>
        <v>615</v>
      </c>
      <c r="B619" s="7" t="str">
        <f>IFERROR(__xludf.DUMMYFUNCTION("""COMPUTED_VALUE"""),"vor 18 Tagen")</f>
        <v>vor 18 Tagen</v>
      </c>
      <c r="C619" s="7" t="str">
        <f>IFERROR(__xludf.DUMMYFUNCTION("""COMPUTED_VALUE"""),"Reporting &amp; Business Analytics Expert w/m/d")</f>
        <v>Reporting &amp; Business Analytics Expert w/m/d</v>
      </c>
      <c r="D619" s="7" t="str">
        <f>IFERROR(__xludf.DUMMYFUNCTION("""COMPUTED_VALUE"""),"Dortmund")</f>
        <v>Dortmund</v>
      </c>
      <c r="E619" s="7" t="str">
        <f>IFERROR(__xludf.DUMMYFUNCTION("""COMPUTED_VALUE"""),"Wilo")</f>
        <v>Wilo</v>
      </c>
      <c r="F619" s="7" t="str">
        <f>IFERROR(__xludf.DUMMYFUNCTION("""COMPUTED_VALUE"""),"None")</f>
        <v>None</v>
      </c>
      <c r="G619" s="7" t="str">
        <f>IFERROR(__xludf.DUMMYFUNCTION("""COMPUTED_VALUE"""),"No salary data")</f>
        <v>No salary data</v>
      </c>
      <c r="H619" s="7" t="str">
        <f>IFERROR(__xludf.DUMMYFUNCTION("""COMPUTED_VALUE"""),"No salary data")</f>
        <v>No salary data</v>
      </c>
      <c r="I619" s="7" t="str">
        <f>IFERROR(__xludf.DUMMYFUNCTION("""COMPUTED_VALUE"""),"No salary data")</f>
        <v>No salary data</v>
      </c>
      <c r="J619" s="7" t="str">
        <f>IFERROR(__xludf.DUMMYFUNCTION("""COMPUTED_VALUE"""),"SQL, Tableau, Git")</f>
        <v>SQL, Tableau, Git</v>
      </c>
      <c r="K619" s="7" t="str">
        <f>IFERROR(__xludf.DUMMYFUNCTION("""COMPUTED_VALUE"""),"No job type data")</f>
        <v>No job type data</v>
      </c>
      <c r="L619" s="7" t="str">
        <f>IFERROR(__xludf.DUMMYFUNCTION("""COMPUTED_VALUE"""),"None")</f>
        <v>None</v>
      </c>
      <c r="M619" s="7"/>
      <c r="N619" s="7"/>
      <c r="O619" s="7"/>
    </row>
    <row r="620">
      <c r="A620" s="29">
        <f>IFERROR(__xludf.DUMMYFUNCTION("""COMPUTED_VALUE"""),616.0)</f>
        <v>616</v>
      </c>
      <c r="B620" s="7" t="str">
        <f>IFERROR(__xludf.DUMMYFUNCTION("""COMPUTED_VALUE"""),"vor 14 Tagen")</f>
        <v>vor 14 Tagen</v>
      </c>
      <c r="C620" s="7" t="str">
        <f>IFERROR(__xludf.DUMMYFUNCTION("""COMPUTED_VALUE"""),"Data Scientist (m/w/d)")</f>
        <v>Data Scientist (m/w/d)</v>
      </c>
      <c r="D620" s="7" t="str">
        <f>IFERROR(__xludf.DUMMYFUNCTION("""COMPUTED_VALUE"""),"Montabaur")</f>
        <v>Montabaur</v>
      </c>
      <c r="E620" s="7" t="str">
        <f>IFERROR(__xludf.DUMMYFUNCTION("""COMPUTED_VALUE"""),"Dürr AG")</f>
        <v>Dürr AG</v>
      </c>
      <c r="F620" s="7" t="str">
        <f>IFERROR(__xludf.DUMMYFUNCTION("""COMPUTED_VALUE"""),"None")</f>
        <v>None</v>
      </c>
      <c r="G620" s="7" t="str">
        <f>IFERROR(__xludf.DUMMYFUNCTION("""COMPUTED_VALUE"""),"No salary data")</f>
        <v>No salary data</v>
      </c>
      <c r="H620" s="7" t="str">
        <f>IFERROR(__xludf.DUMMYFUNCTION("""COMPUTED_VALUE"""),"No salary data")</f>
        <v>No salary data</v>
      </c>
      <c r="I620" s="7" t="str">
        <f>IFERROR(__xludf.DUMMYFUNCTION("""COMPUTED_VALUE"""),"No salary data")</f>
        <v>No salary data</v>
      </c>
      <c r="J620" s="7" t="str">
        <f>IFERROR(__xludf.DUMMYFUNCTION("""COMPUTED_VALUE"""),"Python, Machine Learning, Git")</f>
        <v>Python, Machine Learning, Git</v>
      </c>
      <c r="K620" s="7" t="str">
        <f>IFERROR(__xludf.DUMMYFUNCTION("""COMPUTED_VALUE"""),"No job type data")</f>
        <v>No job type data</v>
      </c>
      <c r="L620" s="7" t="str">
        <f>IFERROR(__xludf.DUMMYFUNCTION("""COMPUTED_VALUE"""),"None")</f>
        <v>None</v>
      </c>
      <c r="M620" s="7"/>
      <c r="N620" s="7"/>
      <c r="O620" s="7"/>
    </row>
    <row r="621">
      <c r="A621" s="29">
        <f>IFERROR(__xludf.DUMMYFUNCTION("""COMPUTED_VALUE"""),617.0)</f>
        <v>617</v>
      </c>
      <c r="B621" s="7" t="str">
        <f>IFERROR(__xludf.DUMMYFUNCTION("""COMPUTED_VALUE"""),"Vor mehr als 30 Tagen")</f>
        <v>Vor mehr als 30 Tagen</v>
      </c>
      <c r="C621" s="7" t="str">
        <f>IFERROR(__xludf.DUMMYFUNCTION("""COMPUTED_VALUE"""),"Data Science Consultant (m/w/d)")</f>
        <v>Data Science Consultant (m/w/d)</v>
      </c>
      <c r="D621" s="7" t="str">
        <f>IFERROR(__xludf.DUMMYFUNCTION("""COMPUTED_VALUE"""),"Bonn")</f>
        <v>Bonn</v>
      </c>
      <c r="E621" s="7" t="str">
        <f>IFERROR(__xludf.DUMMYFUNCTION("""COMPUTED_VALUE"""),"Comma Soft")</f>
        <v>Comma Soft</v>
      </c>
      <c r="F621" s="7" t="str">
        <f>IFERROR(__xludf.DUMMYFUNCTION("""COMPUTED_VALUE"""),"None")</f>
        <v>None</v>
      </c>
      <c r="G621" s="7" t="str">
        <f>IFERROR(__xludf.DUMMYFUNCTION("""COMPUTED_VALUE"""),"No salary data")</f>
        <v>No salary data</v>
      </c>
      <c r="H621" s="7" t="str">
        <f>IFERROR(__xludf.DUMMYFUNCTION("""COMPUTED_VALUE"""),"No salary data")</f>
        <v>No salary data</v>
      </c>
      <c r="I621" s="7" t="str">
        <f>IFERROR(__xludf.DUMMYFUNCTION("""COMPUTED_VALUE"""),"No salary data")</f>
        <v>No salary data</v>
      </c>
      <c r="J621" s="7" t="str">
        <f>IFERROR(__xludf.DUMMYFUNCTION("""COMPUTED_VALUE"""),"Python")</f>
        <v>Python</v>
      </c>
      <c r="K621" s="7" t="str">
        <f>IFERROR(__xludf.DUMMYFUNCTION("""COMPUTED_VALUE"""),"No job type data")</f>
        <v>No job type data</v>
      </c>
      <c r="L621" s="7" t="str">
        <f>IFERROR(__xludf.DUMMYFUNCTION("""COMPUTED_VALUE"""),"None")</f>
        <v>None</v>
      </c>
      <c r="M621" s="7"/>
      <c r="N621" s="7"/>
      <c r="O621" s="7"/>
    </row>
    <row r="622">
      <c r="A622" s="29">
        <f>IFERROR(__xludf.DUMMYFUNCTION("""COMPUTED_VALUE"""),618.0)</f>
        <v>618</v>
      </c>
      <c r="B622" s="7" t="str">
        <f>IFERROR(__xludf.DUMMYFUNCTION("""COMPUTED_VALUE"""),"Vor mehr als 30 Tagen")</f>
        <v>Vor mehr als 30 Tagen</v>
      </c>
      <c r="C622" s="7" t="str">
        <f>IFERROR(__xludf.DUMMYFUNCTION("""COMPUTED_VALUE"""),"(Junior) Expert (m/w/x) Analytics Consulting")</f>
        <v>(Junior) Expert (m/w/x) Analytics Consulting</v>
      </c>
      <c r="D622" s="7" t="str">
        <f>IFERROR(__xludf.DUMMYFUNCTION("""COMPUTED_VALUE"""),"Gütersloh")</f>
        <v>Gütersloh</v>
      </c>
      <c r="E622" s="7" t="str">
        <f>IFERROR(__xludf.DUMMYFUNCTION("""COMPUTED_VALUE"""),"Arvato Supply Chain Solutions SE – Central Functio...")</f>
        <v>Arvato Supply Chain Solutions SE – Central Functio...</v>
      </c>
      <c r="F622" s="7" t="str">
        <f>IFERROR(__xludf.DUMMYFUNCTION("""COMPUTED_VALUE"""),"None")</f>
        <v>None</v>
      </c>
      <c r="G622" s="7" t="str">
        <f>IFERROR(__xludf.DUMMYFUNCTION("""COMPUTED_VALUE"""),"No salary data")</f>
        <v>No salary data</v>
      </c>
      <c r="H622" s="7" t="str">
        <f>IFERROR(__xludf.DUMMYFUNCTION("""COMPUTED_VALUE"""),"No salary data")</f>
        <v>No salary data</v>
      </c>
      <c r="I622" s="7" t="str">
        <f>IFERROR(__xludf.DUMMYFUNCTION("""COMPUTED_VALUE"""),"No salary data")</f>
        <v>No salary data</v>
      </c>
      <c r="J622" s="7" t="str">
        <f>IFERROR(__xludf.DUMMYFUNCTION("""COMPUTED_VALUE"""),"SQL")</f>
        <v>SQL</v>
      </c>
      <c r="K622" s="7" t="str">
        <f>IFERROR(__xludf.DUMMYFUNCTION("""COMPUTED_VALUE"""),"No job type data")</f>
        <v>No job type data</v>
      </c>
      <c r="L622" s="7" t="str">
        <f>IFERROR(__xludf.DUMMYFUNCTION("""COMPUTED_VALUE"""),"2,8")</f>
        <v>2,8</v>
      </c>
      <c r="M622" s="7"/>
      <c r="N622" s="7"/>
      <c r="O622" s="7"/>
    </row>
    <row r="623">
      <c r="A623" s="29">
        <f>IFERROR(__xludf.DUMMYFUNCTION("""COMPUTED_VALUE"""),619.0)</f>
        <v>619</v>
      </c>
      <c r="B623" s="7" t="str">
        <f>IFERROR(__xludf.DUMMYFUNCTION("""COMPUTED_VALUE"""),"Vor mehr als 30 Tagen")</f>
        <v>Vor mehr als 30 Tagen</v>
      </c>
      <c r="C623" s="7" t="str">
        <f>IFERROR(__xludf.DUMMYFUNCTION("""COMPUTED_VALUE"""),"Wirtschaftsmathematiker (w/m/d) Data Risk &amp; Quality")</f>
        <v>Wirtschaftsmathematiker (w/m/d) Data Risk &amp; Quality</v>
      </c>
      <c r="D623" s="7" t="str">
        <f>IFERROR(__xludf.DUMMYFUNCTION("""COMPUTED_VALUE"""),"Mönchengladbach")</f>
        <v>Mönchengladbach</v>
      </c>
      <c r="E623" s="7" t="str">
        <f>IFERROR(__xludf.DUMMYFUNCTION("""COMPUTED_VALUE"""),"Santander Global External")</f>
        <v>Santander Global External</v>
      </c>
      <c r="F623" s="7" t="str">
        <f>IFERROR(__xludf.DUMMYFUNCTION("""COMPUTED_VALUE"""),"None")</f>
        <v>None</v>
      </c>
      <c r="G623" s="7" t="str">
        <f>IFERROR(__xludf.DUMMYFUNCTION("""COMPUTED_VALUE"""),"No salary data")</f>
        <v>No salary data</v>
      </c>
      <c r="H623" s="7" t="str">
        <f>IFERROR(__xludf.DUMMYFUNCTION("""COMPUTED_VALUE"""),"No salary data")</f>
        <v>No salary data</v>
      </c>
      <c r="I623" s="7" t="str">
        <f>IFERROR(__xludf.DUMMYFUNCTION("""COMPUTED_VALUE"""),"No salary data")</f>
        <v>No salary data</v>
      </c>
      <c r="J623" s="7" t="str">
        <f>IFERROR(__xludf.DUMMYFUNCTION("""COMPUTED_VALUE"""),"SQL, Excel")</f>
        <v>SQL, Excel</v>
      </c>
      <c r="K623" s="7" t="str">
        <f>IFERROR(__xludf.DUMMYFUNCTION("""COMPUTED_VALUE"""),"No job type data")</f>
        <v>No job type data</v>
      </c>
      <c r="L623" s="7" t="str">
        <f>IFERROR(__xludf.DUMMYFUNCTION("""COMPUTED_VALUE"""),"None")</f>
        <v>None</v>
      </c>
      <c r="M623" s="7"/>
      <c r="N623" s="7"/>
      <c r="O623" s="7"/>
    </row>
    <row r="624">
      <c r="A624" s="29">
        <f>IFERROR(__xludf.DUMMYFUNCTION("""COMPUTED_VALUE"""),620.0)</f>
        <v>620</v>
      </c>
      <c r="B624" s="7" t="str">
        <f>IFERROR(__xludf.DUMMYFUNCTION("""COMPUTED_VALUE"""),"Vor mehr als 30 Tagen")</f>
        <v>Vor mehr als 30 Tagen</v>
      </c>
      <c r="C624" s="7" t="str">
        <f>IFERROR(__xludf.DUMMYFUNCTION("""COMPUTED_VALUE"""),"Manager Data Analytics Global Internal Audit (m/f/d)")</f>
        <v>Manager Data Analytics Global Internal Audit (m/f/d)</v>
      </c>
      <c r="D624" s="7" t="str">
        <f>IFERROR(__xludf.DUMMYFUNCTION("""COMPUTED_VALUE"""),"Bad Homburg vor der Höhe")</f>
        <v>Bad Homburg vor der Höhe</v>
      </c>
      <c r="E624" s="7" t="str">
        <f>IFERROR(__xludf.DUMMYFUNCTION("""COMPUTED_VALUE"""),"Fresenius Medical Care")</f>
        <v>Fresenius Medical Care</v>
      </c>
      <c r="F624" s="7" t="str">
        <f>IFERROR(__xludf.DUMMYFUNCTION("""COMPUTED_VALUE"""),"None")</f>
        <v>None</v>
      </c>
      <c r="G624" s="7" t="str">
        <f>IFERROR(__xludf.DUMMYFUNCTION("""COMPUTED_VALUE"""),"No salary data")</f>
        <v>No salary data</v>
      </c>
      <c r="H624" s="7" t="str">
        <f>IFERROR(__xludf.DUMMYFUNCTION("""COMPUTED_VALUE"""),"No salary data")</f>
        <v>No salary data</v>
      </c>
      <c r="I624" s="7" t="str">
        <f>IFERROR(__xludf.DUMMYFUNCTION("""COMPUTED_VALUE"""),"No salary data")</f>
        <v>No salary data</v>
      </c>
      <c r="J624" s="7" t="str">
        <f>IFERROR(__xludf.DUMMYFUNCTION("""COMPUTED_VALUE"""),"Python, SQL")</f>
        <v>Python, SQL</v>
      </c>
      <c r="K624" s="7" t="str">
        <f>IFERROR(__xludf.DUMMYFUNCTION("""COMPUTED_VALUE"""),"Permanent")</f>
        <v>Permanent</v>
      </c>
      <c r="L624" s="7" t="str">
        <f>IFERROR(__xludf.DUMMYFUNCTION("""COMPUTED_VALUE"""),"3,4")</f>
        <v>3,4</v>
      </c>
      <c r="M624" s="7"/>
      <c r="N624" s="7"/>
      <c r="O624" s="7"/>
    </row>
    <row r="625">
      <c r="A625" s="29">
        <f>IFERROR(__xludf.DUMMYFUNCTION("""COMPUTED_VALUE"""),621.0)</f>
        <v>621</v>
      </c>
      <c r="B625" s="7" t="str">
        <f>IFERROR(__xludf.DUMMYFUNCTION("""COMPUTED_VALUE"""),"vor 27 Tagen")</f>
        <v>vor 27 Tagen</v>
      </c>
      <c r="C625" s="7" t="str">
        <f>IFERROR(__xludf.DUMMYFUNCTION("""COMPUTED_VALUE"""),"Data Scientist/Ontology Engineer (m/w/d)")</f>
        <v>Data Scientist/Ontology Engineer (m/w/d)</v>
      </c>
      <c r="D625" s="7" t="str">
        <f>IFERROR(__xludf.DUMMYFUNCTION("""COMPUTED_VALUE"""),"Hannover")</f>
        <v>Hannover</v>
      </c>
      <c r="E625" s="7" t="str">
        <f>IFERROR(__xludf.DUMMYFUNCTION("""COMPUTED_VALUE"""),"Leibniz-Gemeinschaft")</f>
        <v>Leibniz-Gemeinschaft</v>
      </c>
      <c r="F625" s="7" t="str">
        <f>IFERROR(__xludf.DUMMYFUNCTION("""COMPUTED_VALUE"""),"None")</f>
        <v>None</v>
      </c>
      <c r="G625" s="7" t="str">
        <f>IFERROR(__xludf.DUMMYFUNCTION("""COMPUTED_VALUE"""),"No salary data")</f>
        <v>No salary data</v>
      </c>
      <c r="H625" s="7" t="str">
        <f>IFERROR(__xludf.DUMMYFUNCTION("""COMPUTED_VALUE"""),"No salary data")</f>
        <v>No salary data</v>
      </c>
      <c r="I625" s="7" t="str">
        <f>IFERROR(__xludf.DUMMYFUNCTION("""COMPUTED_VALUE"""),"No salary data")</f>
        <v>No salary data</v>
      </c>
      <c r="J625" s="7" t="str">
        <f>IFERROR(__xludf.DUMMYFUNCTION("""COMPUTED_VALUE"""),"Python, Git, Scrum")</f>
        <v>Python, Git, Scrum</v>
      </c>
      <c r="K625" s="7" t="str">
        <f>IFERROR(__xludf.DUMMYFUNCTION("""COMPUTED_VALUE"""),"No job type data")</f>
        <v>No job type data</v>
      </c>
      <c r="L625" s="7" t="str">
        <f>IFERROR(__xludf.DUMMYFUNCTION("""COMPUTED_VALUE"""),"None")</f>
        <v>None</v>
      </c>
      <c r="M625" s="7"/>
      <c r="N625" s="7"/>
      <c r="O625" s="7"/>
    </row>
    <row r="626">
      <c r="A626" s="29">
        <f>IFERROR(__xludf.DUMMYFUNCTION("""COMPUTED_VALUE"""),622.0)</f>
        <v>622</v>
      </c>
      <c r="B626" s="7" t="str">
        <f>IFERROR(__xludf.DUMMYFUNCTION("""COMPUTED_VALUE"""),"Vor mehr als 30 Tagen")</f>
        <v>Vor mehr als 30 Tagen</v>
      </c>
      <c r="C626" s="7" t="str">
        <f>IFERROR(__xludf.DUMMYFUNCTION("""COMPUTED_VALUE"""),"Data Scientist (m/w/d)")</f>
        <v>Data Scientist (m/w/d)</v>
      </c>
      <c r="D626" s="7" t="str">
        <f>IFERROR(__xludf.DUMMYFUNCTION("""COMPUTED_VALUE"""),"Mülheim-Kärlich")</f>
        <v>Mülheim-Kärlich</v>
      </c>
      <c r="E626" s="7" t="str">
        <f>IFERROR(__xludf.DUMMYFUNCTION("""COMPUTED_VALUE"""),"TOMRA")</f>
        <v>TOMRA</v>
      </c>
      <c r="F626" s="7" t="str">
        <f>IFERROR(__xludf.DUMMYFUNCTION("""COMPUTED_VALUE"""),"None")</f>
        <v>None</v>
      </c>
      <c r="G626" s="7" t="str">
        <f>IFERROR(__xludf.DUMMYFUNCTION("""COMPUTED_VALUE"""),"No salary data")</f>
        <v>No salary data</v>
      </c>
      <c r="H626" s="7" t="str">
        <f>IFERROR(__xludf.DUMMYFUNCTION("""COMPUTED_VALUE"""),"No salary data")</f>
        <v>No salary data</v>
      </c>
      <c r="I626" s="7" t="str">
        <f>IFERROR(__xludf.DUMMYFUNCTION("""COMPUTED_VALUE"""),"No salary data")</f>
        <v>No salary data</v>
      </c>
      <c r="J626" s="7" t="str">
        <f>IFERROR(__xludf.DUMMYFUNCTION("""COMPUTED_VALUE"""),"Python, Git")</f>
        <v>Python, Git</v>
      </c>
      <c r="K626" s="7" t="str">
        <f>IFERROR(__xludf.DUMMYFUNCTION("""COMPUTED_VALUE"""),"No job type data")</f>
        <v>No job type data</v>
      </c>
      <c r="L626" s="7" t="str">
        <f>IFERROR(__xludf.DUMMYFUNCTION("""COMPUTED_VALUE"""),"None")</f>
        <v>None</v>
      </c>
      <c r="M626" s="7"/>
      <c r="N626" s="7"/>
      <c r="O626" s="7"/>
    </row>
    <row r="627">
      <c r="A627" s="29">
        <f>IFERROR(__xludf.DUMMYFUNCTION("""COMPUTED_VALUE"""),623.0)</f>
        <v>623</v>
      </c>
      <c r="B627" s="7" t="str">
        <f>IFERROR(__xludf.DUMMYFUNCTION("""COMPUTED_VALUE"""),"vor 6 Tagen")</f>
        <v>vor 6 Tagen</v>
      </c>
      <c r="C627" s="7" t="str">
        <f>IFERROR(__xludf.DUMMYFUNCTION("""COMPUTED_VALUE"""),"(Data) Science Consultant (m/w/d)")</f>
        <v>(Data) Science Consultant (m/w/d)</v>
      </c>
      <c r="D627" s="7" t="str">
        <f>IFERROR(__xludf.DUMMYFUNCTION("""COMPUTED_VALUE"""),"Oberhaching")</f>
        <v>Oberhaching</v>
      </c>
      <c r="E627" s="7" t="str">
        <f>IFERROR(__xludf.DUMMYFUNCTION("""COMPUTED_VALUE"""),"blu BEYOND GmbH")</f>
        <v>blu BEYOND GmbH</v>
      </c>
      <c r="F627" s="7" t="str">
        <f>IFERROR(__xludf.DUMMYFUNCTION("""COMPUTED_VALUE"""),"None")</f>
        <v>None</v>
      </c>
      <c r="G627" s="7" t="str">
        <f>IFERROR(__xludf.DUMMYFUNCTION("""COMPUTED_VALUE"""),"No salary data")</f>
        <v>No salary data</v>
      </c>
      <c r="H627" s="7" t="str">
        <f>IFERROR(__xludf.DUMMYFUNCTION("""COMPUTED_VALUE"""),"No salary data")</f>
        <v>No salary data</v>
      </c>
      <c r="I627" s="7" t="str">
        <f>IFERROR(__xludf.DUMMYFUNCTION("""COMPUTED_VALUE"""),"No salary data")</f>
        <v>No salary data</v>
      </c>
      <c r="J627" s="7" t="str">
        <f>IFERROR(__xludf.DUMMYFUNCTION("""COMPUTED_VALUE"""),"Git")</f>
        <v>Git</v>
      </c>
      <c r="K627" s="7" t="str">
        <f>IFERROR(__xludf.DUMMYFUNCTION("""COMPUTED_VALUE"""),"No job type data")</f>
        <v>No job type data</v>
      </c>
      <c r="L627" s="7" t="str">
        <f>IFERROR(__xludf.DUMMYFUNCTION("""COMPUTED_VALUE"""),"None")</f>
        <v>None</v>
      </c>
      <c r="M627" s="7"/>
      <c r="N627" s="7"/>
      <c r="O627" s="7"/>
    </row>
    <row r="628">
      <c r="A628" s="29">
        <f>IFERROR(__xludf.DUMMYFUNCTION("""COMPUTED_VALUE"""),624.0)</f>
        <v>624</v>
      </c>
      <c r="B628" s="7" t="str">
        <f>IFERROR(__xludf.DUMMYFUNCTION("""COMPUTED_VALUE"""),"vor 14 Tagen")</f>
        <v>vor 14 Tagen</v>
      </c>
      <c r="C628" s="7" t="str">
        <f>IFERROR(__xludf.DUMMYFUNCTION("""COMPUTED_VALUE"""),"Data Scientist (m/w/d)")</f>
        <v>Data Scientist (m/w/d)</v>
      </c>
      <c r="D628" s="7" t="str">
        <f>IFERROR(__xludf.DUMMYFUNCTION("""COMPUTED_VALUE"""),"Montabaur")</f>
        <v>Montabaur</v>
      </c>
      <c r="E628" s="7" t="str">
        <f>IFERROR(__xludf.DUMMYFUNCTION("""COMPUTED_VALUE"""),"Dürr Somac GmbH")</f>
        <v>Dürr Somac GmbH</v>
      </c>
      <c r="F628" s="7" t="str">
        <f>IFERROR(__xludf.DUMMYFUNCTION("""COMPUTED_VALUE"""),"None")</f>
        <v>None</v>
      </c>
      <c r="G628" s="7" t="str">
        <f>IFERROR(__xludf.DUMMYFUNCTION("""COMPUTED_VALUE"""),"No salary data")</f>
        <v>No salary data</v>
      </c>
      <c r="H628" s="7" t="str">
        <f>IFERROR(__xludf.DUMMYFUNCTION("""COMPUTED_VALUE"""),"No salary data")</f>
        <v>No salary data</v>
      </c>
      <c r="I628" s="7" t="str">
        <f>IFERROR(__xludf.DUMMYFUNCTION("""COMPUTED_VALUE"""),"No salary data")</f>
        <v>No salary data</v>
      </c>
      <c r="J628" s="7" t="str">
        <f>IFERROR(__xludf.DUMMYFUNCTION("""COMPUTED_VALUE"""),"Python, Machine Learning, Git")</f>
        <v>Python, Machine Learning, Git</v>
      </c>
      <c r="K628" s="7" t="str">
        <f>IFERROR(__xludf.DUMMYFUNCTION("""COMPUTED_VALUE"""),"No job type data")</f>
        <v>No job type data</v>
      </c>
      <c r="L628" s="7" t="str">
        <f>IFERROR(__xludf.DUMMYFUNCTION("""COMPUTED_VALUE"""),"None")</f>
        <v>None</v>
      </c>
      <c r="M628" s="7"/>
      <c r="N628" s="7"/>
      <c r="O628" s="7"/>
    </row>
    <row r="629">
      <c r="A629" s="29">
        <f>IFERROR(__xludf.DUMMYFUNCTION("""COMPUTED_VALUE"""),625.0)</f>
        <v>625</v>
      </c>
      <c r="B629" s="7" t="str">
        <f>IFERROR(__xludf.DUMMYFUNCTION("""COMPUTED_VALUE"""),"vor 16 Tagen")</f>
        <v>vor 16 Tagen</v>
      </c>
      <c r="C629" s="7" t="str">
        <f>IFERROR(__xludf.DUMMYFUNCTION("""COMPUTED_VALUE"""),"Data Scientist (m/f/x)")</f>
        <v>Data Scientist (m/f/x)</v>
      </c>
      <c r="D629" s="7" t="str">
        <f>IFERROR(__xludf.DUMMYFUNCTION("""COMPUTED_VALUE"""),"Berlin-Kreuzberg")</f>
        <v>Berlin-Kreuzberg</v>
      </c>
      <c r="E629" s="7" t="str">
        <f>IFERROR(__xludf.DUMMYFUNCTION("""COMPUTED_VALUE"""),"Trade Republic Bank GmbH")</f>
        <v>Trade Republic Bank GmbH</v>
      </c>
      <c r="F629" s="7" t="str">
        <f>IFERROR(__xludf.DUMMYFUNCTION("""COMPUTED_VALUE"""),"None")</f>
        <v>None</v>
      </c>
      <c r="G629" s="7" t="str">
        <f>IFERROR(__xludf.DUMMYFUNCTION("""COMPUTED_VALUE"""),"No salary data")</f>
        <v>No salary data</v>
      </c>
      <c r="H629" s="7" t="str">
        <f>IFERROR(__xludf.DUMMYFUNCTION("""COMPUTED_VALUE"""),"No salary data")</f>
        <v>No salary data</v>
      </c>
      <c r="I629" s="7" t="str">
        <f>IFERROR(__xludf.DUMMYFUNCTION("""COMPUTED_VALUE"""),"No salary data")</f>
        <v>No salary data</v>
      </c>
      <c r="J629" s="7" t="str">
        <f>IFERROR(__xludf.DUMMYFUNCTION("""COMPUTED_VALUE"""),"Python, Machine Learning, Statistic")</f>
        <v>Python, Machine Learning, Statistic</v>
      </c>
      <c r="K629" s="7" t="str">
        <f>IFERROR(__xludf.DUMMYFUNCTION("""COMPUTED_VALUE"""),"No job type data")</f>
        <v>No job type data</v>
      </c>
      <c r="L629" s="7" t="str">
        <f>IFERROR(__xludf.DUMMYFUNCTION("""COMPUTED_VALUE"""),"None")</f>
        <v>None</v>
      </c>
      <c r="M629" s="7"/>
      <c r="N629" s="7"/>
      <c r="O629" s="7"/>
    </row>
    <row r="630">
      <c r="A630" s="29">
        <f>IFERROR(__xludf.DUMMYFUNCTION("""COMPUTED_VALUE"""),626.0)</f>
        <v>626</v>
      </c>
      <c r="B630" s="7" t="str">
        <f>IFERROR(__xludf.DUMMYFUNCTION("""COMPUTED_VALUE"""),"vor 26 Tagen")</f>
        <v>vor 26 Tagen</v>
      </c>
      <c r="C630" s="7" t="str">
        <f>IFERROR(__xludf.DUMMYFUNCTION("""COMPUTED_VALUE"""),"Data Analyst (m/w/d)")</f>
        <v>Data Analyst (m/w/d)</v>
      </c>
      <c r="D630" s="7" t="str">
        <f>IFERROR(__xludf.DUMMYFUNCTION("""COMPUTED_VALUE"""),"Köln")</f>
        <v>Köln</v>
      </c>
      <c r="E630" s="7" t="str">
        <f>IFERROR(__xludf.DUMMYFUNCTION("""COMPUTED_VALUE"""),"AXA Germany")</f>
        <v>AXA Germany</v>
      </c>
      <c r="F630" s="7" t="str">
        <f>IFERROR(__xludf.DUMMYFUNCTION("""COMPUTED_VALUE"""),"None")</f>
        <v>None</v>
      </c>
      <c r="G630" s="7" t="str">
        <f>IFERROR(__xludf.DUMMYFUNCTION("""COMPUTED_VALUE"""),"No salary data")</f>
        <v>No salary data</v>
      </c>
      <c r="H630" s="7" t="str">
        <f>IFERROR(__xludf.DUMMYFUNCTION("""COMPUTED_VALUE"""),"No salary data")</f>
        <v>No salary data</v>
      </c>
      <c r="I630" s="7" t="str">
        <f>IFERROR(__xludf.DUMMYFUNCTION("""COMPUTED_VALUE"""),"No salary data")</f>
        <v>No salary data</v>
      </c>
      <c r="J630" s="7" t="str">
        <f>IFERROR(__xludf.DUMMYFUNCTION("""COMPUTED_VALUE"""),"Excel")</f>
        <v>Excel</v>
      </c>
      <c r="K630" s="7" t="str">
        <f>IFERROR(__xludf.DUMMYFUNCTION("""COMPUTED_VALUE"""),"No job type data")</f>
        <v>No job type data</v>
      </c>
      <c r="L630" s="7" t="str">
        <f>IFERROR(__xludf.DUMMYFUNCTION("""COMPUTED_VALUE"""),"None")</f>
        <v>None</v>
      </c>
      <c r="M630" s="7"/>
      <c r="N630" s="7"/>
      <c r="O630" s="7"/>
    </row>
    <row r="631">
      <c r="A631" s="29">
        <f>IFERROR(__xludf.DUMMYFUNCTION("""COMPUTED_VALUE"""),627.0)</f>
        <v>627</v>
      </c>
      <c r="B631" s="7" t="str">
        <f>IFERROR(__xludf.DUMMYFUNCTION("""COMPUTED_VALUE"""),"vor 7 Tagen")</f>
        <v>vor 7 Tagen</v>
      </c>
      <c r="C631" s="7" t="str">
        <f>IFERROR(__xludf.DUMMYFUNCTION("""COMPUTED_VALUE"""),"Mitarbeiter/in (m/w/d) für Datenanalyse, Datenmodellierung u...")</f>
        <v>Mitarbeiter/in (m/w/d) für Datenanalyse, Datenmodellierung u...</v>
      </c>
      <c r="D631" s="7" t="str">
        <f>IFERROR(__xludf.DUMMYFUNCTION("""COMPUTED_VALUE"""),"Bonn")</f>
        <v>Bonn</v>
      </c>
      <c r="E631" s="7" t="str">
        <f>IFERROR(__xludf.DUMMYFUNCTION("""COMPUTED_VALUE"""),"Deutsche Forschungsgemeinschaft e. V.")</f>
        <v>Deutsche Forschungsgemeinschaft e. V.</v>
      </c>
      <c r="F631" s="7" t="str">
        <f>IFERROR(__xludf.DUMMYFUNCTION("""COMPUTED_VALUE"""),"None")</f>
        <v>None</v>
      </c>
      <c r="G631" s="7" t="str">
        <f>IFERROR(__xludf.DUMMYFUNCTION("""COMPUTED_VALUE"""),"No salary data")</f>
        <v>No salary data</v>
      </c>
      <c r="H631" s="7" t="str">
        <f>IFERROR(__xludf.DUMMYFUNCTION("""COMPUTED_VALUE"""),"No salary data")</f>
        <v>No salary data</v>
      </c>
      <c r="I631" s="7" t="str">
        <f>IFERROR(__xludf.DUMMYFUNCTION("""COMPUTED_VALUE"""),"No salary data")</f>
        <v>No salary data</v>
      </c>
      <c r="J631" s="7" t="str">
        <f>IFERROR(__xludf.DUMMYFUNCTION("""COMPUTED_VALUE"""),"Python, SQL, Excel")</f>
        <v>Python, SQL, Excel</v>
      </c>
      <c r="K631" s="7" t="str">
        <f>IFERROR(__xludf.DUMMYFUNCTION("""COMPUTED_VALUE"""),"No job type data")</f>
        <v>No job type data</v>
      </c>
      <c r="L631" s="7" t="str">
        <f>IFERROR(__xludf.DUMMYFUNCTION("""COMPUTED_VALUE"""),"None")</f>
        <v>None</v>
      </c>
      <c r="M631" s="7"/>
      <c r="N631" s="7"/>
      <c r="O631" s="7"/>
    </row>
    <row r="632">
      <c r="A632" s="29">
        <f>IFERROR(__xludf.DUMMYFUNCTION("""COMPUTED_VALUE"""),628.0)</f>
        <v>628</v>
      </c>
      <c r="B632" s="7" t="str">
        <f>IFERROR(__xludf.DUMMYFUNCTION("""COMPUTED_VALUE"""),"Vor mehr als 30 Tagen")</f>
        <v>Vor mehr als 30 Tagen</v>
      </c>
      <c r="C632" s="7" t="str">
        <f>IFERROR(__xludf.DUMMYFUNCTION("""COMPUTED_VALUE"""),"Junior Data Analyst (m/w/d)")</f>
        <v>Junior Data Analyst (m/w/d)</v>
      </c>
      <c r="D632" s="7" t="str">
        <f>IFERROR(__xludf.DUMMYFUNCTION("""COMPUTED_VALUE"""),"Berlin")</f>
        <v>Berlin</v>
      </c>
      <c r="E632" s="7" t="str">
        <f>IFERROR(__xludf.DUMMYFUNCTION("""COMPUTED_VALUE"""),"datapine GmbH")</f>
        <v>datapine GmbH</v>
      </c>
      <c r="F632" s="7" t="str">
        <f>IFERROR(__xludf.DUMMYFUNCTION("""COMPUTED_VALUE"""),"None")</f>
        <v>None</v>
      </c>
      <c r="G632" s="7" t="str">
        <f>IFERROR(__xludf.DUMMYFUNCTION("""COMPUTED_VALUE"""),"No salary data")</f>
        <v>No salary data</v>
      </c>
      <c r="H632" s="7" t="str">
        <f>IFERROR(__xludf.DUMMYFUNCTION("""COMPUTED_VALUE"""),"No salary data")</f>
        <v>No salary data</v>
      </c>
      <c r="I632" s="7" t="str">
        <f>IFERROR(__xludf.DUMMYFUNCTION("""COMPUTED_VALUE"""),"No salary data")</f>
        <v>No salary data</v>
      </c>
      <c r="J632" s="7" t="str">
        <f>IFERROR(__xludf.DUMMYFUNCTION("""COMPUTED_VALUE"""),"SQL, Excel, Git")</f>
        <v>SQL, Excel, Git</v>
      </c>
      <c r="K632" s="7" t="str">
        <f>IFERROR(__xludf.DUMMYFUNCTION("""COMPUTED_VALUE"""),"No job type data")</f>
        <v>No job type data</v>
      </c>
      <c r="L632" s="7" t="str">
        <f>IFERROR(__xludf.DUMMYFUNCTION("""COMPUTED_VALUE"""),"None")</f>
        <v>None</v>
      </c>
      <c r="M632" s="7"/>
      <c r="N632" s="7"/>
      <c r="O632" s="7"/>
    </row>
    <row r="633">
      <c r="A633" s="29">
        <f>IFERROR(__xludf.DUMMYFUNCTION("""COMPUTED_VALUE"""),629.0)</f>
        <v>629</v>
      </c>
      <c r="B633" s="7" t="str">
        <f>IFERROR(__xludf.DUMMYFUNCTION("""COMPUTED_VALUE"""),"Vor mehr als 30 Tagen")</f>
        <v>Vor mehr als 30 Tagen</v>
      </c>
      <c r="C633" s="7" t="str">
        <f>IFERROR(__xludf.DUMMYFUNCTION("""COMPUTED_VALUE"""),"Technical Consultant (m/f/d) Industrial Artificial Intellige...")</f>
        <v>Technical Consultant (m/f/d) Industrial Artificial Intellige...</v>
      </c>
      <c r="D633" s="7" t="str">
        <f>IFERROR(__xludf.DUMMYFUNCTION("""COMPUTED_VALUE"""),"Deutschland")</f>
        <v>Deutschland</v>
      </c>
      <c r="E633" s="7" t="str">
        <f>IFERROR(__xludf.DUMMYFUNCTION("""COMPUTED_VALUE"""),"Intico Engineering")</f>
        <v>Intico Engineering</v>
      </c>
      <c r="F633" s="7" t="str">
        <f>IFERROR(__xludf.DUMMYFUNCTION("""COMPUTED_VALUE"""),"None")</f>
        <v>None</v>
      </c>
      <c r="G633" s="7" t="str">
        <f>IFERROR(__xludf.DUMMYFUNCTION("""COMPUTED_VALUE"""),"No salary data")</f>
        <v>No salary data</v>
      </c>
      <c r="H633" s="7" t="str">
        <f>IFERROR(__xludf.DUMMYFUNCTION("""COMPUTED_VALUE"""),"No salary data")</f>
        <v>No salary data</v>
      </c>
      <c r="I633" s="7" t="str">
        <f>IFERROR(__xludf.DUMMYFUNCTION("""COMPUTED_VALUE"""),"No salary data")</f>
        <v>No salary data</v>
      </c>
      <c r="J633" s="7" t="str">
        <f>IFERROR(__xludf.DUMMYFUNCTION("""COMPUTED_VALUE"""),"Python, SQL, Machine Learning")</f>
        <v>Python, SQL, Machine Learning</v>
      </c>
      <c r="K633" s="7" t="str">
        <f>IFERROR(__xludf.DUMMYFUNCTION("""COMPUTED_VALUE"""),"No job type data")</f>
        <v>No job type data</v>
      </c>
      <c r="L633" s="7" t="str">
        <f>IFERROR(__xludf.DUMMYFUNCTION("""COMPUTED_VALUE"""),"None")</f>
        <v>None</v>
      </c>
      <c r="M633" s="7"/>
      <c r="N633" s="7"/>
      <c r="O633" s="7"/>
    </row>
    <row r="634">
      <c r="A634" s="29">
        <f>IFERROR(__xludf.DUMMYFUNCTION("""COMPUTED_VALUE"""),630.0)</f>
        <v>630</v>
      </c>
      <c r="B634" s="7" t="str">
        <f>IFERROR(__xludf.DUMMYFUNCTION("""COMPUTED_VALUE"""),"vor 13 Tagen")</f>
        <v>vor 13 Tagen</v>
      </c>
      <c r="C634" s="7" t="str">
        <f>IFERROR(__xludf.DUMMYFUNCTION("""COMPUTED_VALUE"""),"Project Manager Data Migration (w/m/d)")</f>
        <v>Project Manager Data Migration (w/m/d)</v>
      </c>
      <c r="D634" s="7" t="str">
        <f>IFERROR(__xludf.DUMMYFUNCTION("""COMPUTED_VALUE"""),"Hamburg")</f>
        <v>Hamburg</v>
      </c>
      <c r="E634" s="7" t="str">
        <f>IFERROR(__xludf.DUMMYFUNCTION("""COMPUTED_VALUE"""),"Otto (GmbH &amp; Co KG)")</f>
        <v>Otto (GmbH &amp; Co KG)</v>
      </c>
      <c r="F634" s="7" t="str">
        <f>IFERROR(__xludf.DUMMYFUNCTION("""COMPUTED_VALUE"""),"None")</f>
        <v>None</v>
      </c>
      <c r="G634" s="7" t="str">
        <f>IFERROR(__xludf.DUMMYFUNCTION("""COMPUTED_VALUE"""),"No salary data")</f>
        <v>No salary data</v>
      </c>
      <c r="H634" s="7" t="str">
        <f>IFERROR(__xludf.DUMMYFUNCTION("""COMPUTED_VALUE"""),"No salary data")</f>
        <v>No salary data</v>
      </c>
      <c r="I634" s="7" t="str">
        <f>IFERROR(__xludf.DUMMYFUNCTION("""COMPUTED_VALUE"""),"No salary data")</f>
        <v>No salary data</v>
      </c>
      <c r="J634" s="7"/>
      <c r="K634" s="7" t="str">
        <f>IFERROR(__xludf.DUMMYFUNCTION("""COMPUTED_VALUE"""),"No job type data")</f>
        <v>No job type data</v>
      </c>
      <c r="L634" s="7" t="str">
        <f>IFERROR(__xludf.DUMMYFUNCTION("""COMPUTED_VALUE"""),"3,5")</f>
        <v>3,5</v>
      </c>
      <c r="M634" s="7"/>
      <c r="N634" s="7"/>
      <c r="O634" s="7"/>
    </row>
    <row r="635">
      <c r="A635" s="29">
        <f>IFERROR(__xludf.DUMMYFUNCTION("""COMPUTED_VALUE"""),631.0)</f>
        <v>631</v>
      </c>
      <c r="B635" s="7" t="str">
        <f>IFERROR(__xludf.DUMMYFUNCTION("""COMPUTED_VALUE"""),"vor 3 Tagen")</f>
        <v>vor 3 Tagen</v>
      </c>
      <c r="C635" s="7" t="str">
        <f>IFERROR(__xludf.DUMMYFUNCTION("""COMPUTED_VALUE"""),"(Senior) Data Scientist - Logistics (f/m/d)")</f>
        <v>(Senior) Data Scientist - Logistics (f/m/d)</v>
      </c>
      <c r="D635" s="7" t="str">
        <f>IFERROR(__xludf.DUMMYFUNCTION("""COMPUTED_VALUE"""),"Berlin")</f>
        <v>Berlin</v>
      </c>
      <c r="E635" s="7" t="str">
        <f>IFERROR(__xludf.DUMMYFUNCTION("""COMPUTED_VALUE"""),"Delivery Hero")</f>
        <v>Delivery Hero</v>
      </c>
      <c r="F635" s="7" t="str">
        <f>IFERROR(__xludf.DUMMYFUNCTION("""COMPUTED_VALUE"""),"None")</f>
        <v>None</v>
      </c>
      <c r="G635" s="7" t="str">
        <f>IFERROR(__xludf.DUMMYFUNCTION("""COMPUTED_VALUE"""),"No salary data")</f>
        <v>No salary data</v>
      </c>
      <c r="H635" s="7" t="str">
        <f>IFERROR(__xludf.DUMMYFUNCTION("""COMPUTED_VALUE"""),"No salary data")</f>
        <v>No salary data</v>
      </c>
      <c r="I635" s="7" t="str">
        <f>IFERROR(__xludf.DUMMYFUNCTION("""COMPUTED_VALUE"""),"No salary data")</f>
        <v>No salary data</v>
      </c>
      <c r="J635" s="7" t="str">
        <f>IFERROR(__xludf.DUMMYFUNCTION("""COMPUTED_VALUE"""),"Python, SQL, Excel, Machine Learning, Statistic")</f>
        <v>Python, SQL, Excel, Machine Learning, Statistic</v>
      </c>
      <c r="K635" s="7" t="str">
        <f>IFERROR(__xludf.DUMMYFUNCTION("""COMPUTED_VALUE"""),"No job type data")</f>
        <v>No job type data</v>
      </c>
      <c r="L635" s="7" t="str">
        <f>IFERROR(__xludf.DUMMYFUNCTION("""COMPUTED_VALUE"""),"3,7")</f>
        <v>3,7</v>
      </c>
      <c r="M635" s="7"/>
      <c r="N635" s="7"/>
      <c r="O635" s="7"/>
    </row>
    <row r="636">
      <c r="A636" s="29">
        <f>IFERROR(__xludf.DUMMYFUNCTION("""COMPUTED_VALUE"""),632.0)</f>
        <v>632</v>
      </c>
      <c r="B636" s="7" t="str">
        <f>IFERROR(__xludf.DUMMYFUNCTION("""COMPUTED_VALUE"""),"Heute")</f>
        <v>Heute</v>
      </c>
      <c r="C636" s="7" t="str">
        <f>IFERROR(__xludf.DUMMYFUNCTION("""COMPUTED_VALUE"""),"Solution Implementation Consultant")</f>
        <v>Solution Implementation Consultant</v>
      </c>
      <c r="D636" s="7" t="str">
        <f>IFERROR(__xludf.DUMMYFUNCTION("""COMPUTED_VALUE"""),"Berlin")</f>
        <v>Berlin</v>
      </c>
      <c r="E636" s="7" t="str">
        <f>IFERROR(__xludf.DUMMYFUNCTION("""COMPUTED_VALUE"""),"Osudio")</f>
        <v>Osudio</v>
      </c>
      <c r="F636" s="7" t="str">
        <f>IFERROR(__xludf.DUMMYFUNCTION("""COMPUTED_VALUE"""),"None")</f>
        <v>None</v>
      </c>
      <c r="G636" s="7" t="str">
        <f>IFERROR(__xludf.DUMMYFUNCTION("""COMPUTED_VALUE"""),"No salary data")</f>
        <v>No salary data</v>
      </c>
      <c r="H636" s="7" t="str">
        <f>IFERROR(__xludf.DUMMYFUNCTION("""COMPUTED_VALUE"""),"No salary data")</f>
        <v>No salary data</v>
      </c>
      <c r="I636" s="7" t="str">
        <f>IFERROR(__xludf.DUMMYFUNCTION("""COMPUTED_VALUE"""),"No salary data")</f>
        <v>No salary data</v>
      </c>
      <c r="J636" s="7" t="str">
        <f>IFERROR(__xludf.DUMMYFUNCTION("""COMPUTED_VALUE"""),"Excel, Git")</f>
        <v>Excel, Git</v>
      </c>
      <c r="K636" s="7" t="str">
        <f>IFERROR(__xludf.DUMMYFUNCTION("""COMPUTED_VALUE"""),"No job type data")</f>
        <v>No job type data</v>
      </c>
      <c r="L636" s="7" t="str">
        <f>IFERROR(__xludf.DUMMYFUNCTION("""COMPUTED_VALUE"""),"None")</f>
        <v>None</v>
      </c>
      <c r="M636" s="7"/>
      <c r="N636" s="7"/>
      <c r="O636" s="7"/>
    </row>
    <row r="637">
      <c r="A637" s="29">
        <f>IFERROR(__xludf.DUMMYFUNCTION("""COMPUTED_VALUE"""),633.0)</f>
        <v>633</v>
      </c>
      <c r="B637" s="7" t="str">
        <f>IFERROR(__xludf.DUMMYFUNCTION("""COMPUTED_VALUE"""),"Heute")</f>
        <v>Heute</v>
      </c>
      <c r="C637" s="7" t="str">
        <f>IFERROR(__xludf.DUMMYFUNCTION("""COMPUTED_VALUE"""),"Data Architect (m/w/d)")</f>
        <v>Data Architect (m/w/d)</v>
      </c>
      <c r="D637" s="7" t="str">
        <f>IFERROR(__xludf.DUMMYFUNCTION("""COMPUTED_VALUE"""),"München")</f>
        <v>München</v>
      </c>
      <c r="E637" s="7" t="str">
        <f>IFERROR(__xludf.DUMMYFUNCTION("""COMPUTED_VALUE"""),"Interhyp AG")</f>
        <v>Interhyp AG</v>
      </c>
      <c r="F637" s="7" t="str">
        <f>IFERROR(__xludf.DUMMYFUNCTION("""COMPUTED_VALUE"""),"None")</f>
        <v>None</v>
      </c>
      <c r="G637" s="7" t="str">
        <f>IFERROR(__xludf.DUMMYFUNCTION("""COMPUTED_VALUE"""),"No salary data")</f>
        <v>No salary data</v>
      </c>
      <c r="H637" s="7" t="str">
        <f>IFERROR(__xludf.DUMMYFUNCTION("""COMPUTED_VALUE"""),"No salary data")</f>
        <v>No salary data</v>
      </c>
      <c r="I637" s="7" t="str">
        <f>IFERROR(__xludf.DUMMYFUNCTION("""COMPUTED_VALUE"""),"No salary data")</f>
        <v>No salary data</v>
      </c>
      <c r="J637" s="7" t="str">
        <f>IFERROR(__xludf.DUMMYFUNCTION("""COMPUTED_VALUE"""),"Git, Agile")</f>
        <v>Git, Agile</v>
      </c>
      <c r="K637" s="7" t="str">
        <f>IFERROR(__xludf.DUMMYFUNCTION("""COMPUTED_VALUE"""),"No job type data")</f>
        <v>No job type data</v>
      </c>
      <c r="L637" s="7" t="str">
        <f>IFERROR(__xludf.DUMMYFUNCTION("""COMPUTED_VALUE"""),"3,8")</f>
        <v>3,8</v>
      </c>
      <c r="M637" s="7"/>
      <c r="N637" s="7"/>
      <c r="O637" s="7"/>
    </row>
    <row r="638">
      <c r="A638" s="29">
        <f>IFERROR(__xludf.DUMMYFUNCTION("""COMPUTED_VALUE"""),634.0)</f>
        <v>634</v>
      </c>
      <c r="B638" s="7" t="str">
        <f>IFERROR(__xludf.DUMMYFUNCTION("""COMPUTED_VALUE"""),"vor 25 Tagen")</f>
        <v>vor 25 Tagen</v>
      </c>
      <c r="C638" s="7" t="str">
        <f>IFERROR(__xludf.DUMMYFUNCTION("""COMPUTED_VALUE"""),"Business Analyst / Data Analyst (m/w/d) Marketing")</f>
        <v>Business Analyst / Data Analyst (m/w/d) Marketing</v>
      </c>
      <c r="D638" s="7" t="str">
        <f>IFERROR(__xludf.DUMMYFUNCTION("""COMPUTED_VALUE"""),"Baden-Württemberg")</f>
        <v>Baden-Württemberg</v>
      </c>
      <c r="E638" s="7" t="str">
        <f>IFERROR(__xludf.DUMMYFUNCTION("""COMPUTED_VALUE"""),"VPV Lebensversicherungs AG")</f>
        <v>VPV Lebensversicherungs AG</v>
      </c>
      <c r="F638" s="7" t="str">
        <f>IFERROR(__xludf.DUMMYFUNCTION("""COMPUTED_VALUE"""),"None")</f>
        <v>None</v>
      </c>
      <c r="G638" s="7" t="str">
        <f>IFERROR(__xludf.DUMMYFUNCTION("""COMPUTED_VALUE"""),"No salary data")</f>
        <v>No salary data</v>
      </c>
      <c r="H638" s="7" t="str">
        <f>IFERROR(__xludf.DUMMYFUNCTION("""COMPUTED_VALUE"""),"No salary data")</f>
        <v>No salary data</v>
      </c>
      <c r="I638" s="7" t="str">
        <f>IFERROR(__xludf.DUMMYFUNCTION("""COMPUTED_VALUE"""),"No salary data")</f>
        <v>No salary data</v>
      </c>
      <c r="J638" s="7" t="str">
        <f>IFERROR(__xludf.DUMMYFUNCTION("""COMPUTED_VALUE"""),"Python, SQL")</f>
        <v>Python, SQL</v>
      </c>
      <c r="K638" s="7" t="str">
        <f>IFERROR(__xludf.DUMMYFUNCTION("""COMPUTED_VALUE"""),"No job type data")</f>
        <v>No job type data</v>
      </c>
      <c r="L638" s="7" t="str">
        <f>IFERROR(__xludf.DUMMYFUNCTION("""COMPUTED_VALUE"""),"3,0")</f>
        <v>3,0</v>
      </c>
      <c r="M638" s="7"/>
      <c r="N638" s="7"/>
      <c r="O638" s="7"/>
    </row>
    <row r="639">
      <c r="A639" s="29">
        <f>IFERROR(__xludf.DUMMYFUNCTION("""COMPUTED_VALUE"""),635.0)</f>
        <v>635</v>
      </c>
      <c r="B639" s="7" t="str">
        <f>IFERROR(__xludf.DUMMYFUNCTION("""COMPUTED_VALUE"""),"vor 20 Tagen")</f>
        <v>vor 20 Tagen</v>
      </c>
      <c r="C639" s="7" t="str">
        <f>IFERROR(__xludf.DUMMYFUNCTION("""COMPUTED_VALUE"""),"Working Student Data Analytics (f/m/d)")</f>
        <v>Working Student Data Analytics (f/m/d)</v>
      </c>
      <c r="D639" s="7" t="str">
        <f>IFERROR(__xludf.DUMMYFUNCTION("""COMPUTED_VALUE"""),"München")</f>
        <v>München</v>
      </c>
      <c r="E639" s="7" t="str">
        <f>IFERROR(__xludf.DUMMYFUNCTION("""COMPUTED_VALUE"""),"IconicFinance GmbH")</f>
        <v>IconicFinance GmbH</v>
      </c>
      <c r="F639" s="7" t="str">
        <f>IFERROR(__xludf.DUMMYFUNCTION("""COMPUTED_VALUE"""),"None")</f>
        <v>None</v>
      </c>
      <c r="G639" s="7" t="str">
        <f>IFERROR(__xludf.DUMMYFUNCTION("""COMPUTED_VALUE"""),"No salary data")</f>
        <v>No salary data</v>
      </c>
      <c r="H639" s="7" t="str">
        <f>IFERROR(__xludf.DUMMYFUNCTION("""COMPUTED_VALUE"""),"No salary data")</f>
        <v>No salary data</v>
      </c>
      <c r="I639" s="7" t="str">
        <f>IFERROR(__xludf.DUMMYFUNCTION("""COMPUTED_VALUE"""),"No salary data")</f>
        <v>No salary data</v>
      </c>
      <c r="J639" s="7" t="str">
        <f>IFERROR(__xludf.DUMMYFUNCTION("""COMPUTED_VALUE"""),"Machine Learning, Agile, Scrum")</f>
        <v>Machine Learning, Agile, Scrum</v>
      </c>
      <c r="K639" s="7" t="str">
        <f>IFERROR(__xludf.DUMMYFUNCTION("""COMPUTED_VALUE"""),"Contract")</f>
        <v>Contract</v>
      </c>
      <c r="L639" s="7" t="str">
        <f>IFERROR(__xludf.DUMMYFUNCTION("""COMPUTED_VALUE"""),"None")</f>
        <v>None</v>
      </c>
      <c r="M639" s="7"/>
      <c r="N639" s="7"/>
      <c r="O639" s="7"/>
    </row>
    <row r="640">
      <c r="A640" s="29">
        <f>IFERROR(__xludf.DUMMYFUNCTION("""COMPUTED_VALUE"""),636.0)</f>
        <v>636</v>
      </c>
      <c r="B640" s="7" t="str">
        <f>IFERROR(__xludf.DUMMYFUNCTION("""COMPUTED_VALUE"""),"vor 6 Tagen")</f>
        <v>vor 6 Tagen</v>
      </c>
      <c r="C640" s="7" t="str">
        <f>IFERROR(__xludf.DUMMYFUNCTION("""COMPUTED_VALUE"""),"Research Analyst (*)")</f>
        <v>Research Analyst (*)</v>
      </c>
      <c r="D640" s="7" t="str">
        <f>IFERROR(__xludf.DUMMYFUNCTION("""COMPUTED_VALUE"""),"Essen")</f>
        <v>Essen</v>
      </c>
      <c r="E640" s="7" t="str">
        <f>IFERROR(__xludf.DUMMYFUNCTION("""COMPUTED_VALUE"""),"ista")</f>
        <v>ista</v>
      </c>
      <c r="F640" s="7" t="str">
        <f>IFERROR(__xludf.DUMMYFUNCTION("""COMPUTED_VALUE"""),"None")</f>
        <v>None</v>
      </c>
      <c r="G640" s="7" t="str">
        <f>IFERROR(__xludf.DUMMYFUNCTION("""COMPUTED_VALUE"""),"No salary data")</f>
        <v>No salary data</v>
      </c>
      <c r="H640" s="7" t="str">
        <f>IFERROR(__xludf.DUMMYFUNCTION("""COMPUTED_VALUE"""),"No salary data")</f>
        <v>No salary data</v>
      </c>
      <c r="I640" s="7" t="str">
        <f>IFERROR(__xludf.DUMMYFUNCTION("""COMPUTED_VALUE"""),"No salary data")</f>
        <v>No salary data</v>
      </c>
      <c r="J640" s="7" t="str">
        <f>IFERROR(__xludf.DUMMYFUNCTION("""COMPUTED_VALUE"""),"Python, Tableau")</f>
        <v>Python, Tableau</v>
      </c>
      <c r="K640" s="7" t="str">
        <f>IFERROR(__xludf.DUMMYFUNCTION("""COMPUTED_VALUE"""),"No job type data")</f>
        <v>No job type data</v>
      </c>
      <c r="L640" s="7" t="str">
        <f>IFERROR(__xludf.DUMMYFUNCTION("""COMPUTED_VALUE"""),"3,8")</f>
        <v>3,8</v>
      </c>
      <c r="M640" s="7"/>
      <c r="N640" s="7"/>
      <c r="O640" s="7"/>
    </row>
    <row r="641">
      <c r="A641" s="29">
        <f>IFERROR(__xludf.DUMMYFUNCTION("""COMPUTED_VALUE"""),637.0)</f>
        <v>637</v>
      </c>
      <c r="B641" s="7" t="str">
        <f>IFERROR(__xludf.DUMMYFUNCTION("""COMPUTED_VALUE"""),"vor 27 Tagen")</f>
        <v>vor 27 Tagen</v>
      </c>
      <c r="C641" s="7" t="str">
        <f>IFERROR(__xludf.DUMMYFUNCTION("""COMPUTED_VALUE"""),"Data Scientist/Ontology Engineer (m/w/d)")</f>
        <v>Data Scientist/Ontology Engineer (m/w/d)</v>
      </c>
      <c r="D641" s="7" t="str">
        <f>IFERROR(__xludf.DUMMYFUNCTION("""COMPUTED_VALUE"""),"Hannover")</f>
        <v>Hannover</v>
      </c>
      <c r="E641" s="7" t="str">
        <f>IFERROR(__xludf.DUMMYFUNCTION("""COMPUTED_VALUE"""),"Leibniz-Gemeinschaft")</f>
        <v>Leibniz-Gemeinschaft</v>
      </c>
      <c r="F641" s="7" t="str">
        <f>IFERROR(__xludf.DUMMYFUNCTION("""COMPUTED_VALUE"""),"None")</f>
        <v>None</v>
      </c>
      <c r="G641" s="7" t="str">
        <f>IFERROR(__xludf.DUMMYFUNCTION("""COMPUTED_VALUE"""),"No salary data")</f>
        <v>No salary data</v>
      </c>
      <c r="H641" s="7" t="str">
        <f>IFERROR(__xludf.DUMMYFUNCTION("""COMPUTED_VALUE"""),"No salary data")</f>
        <v>No salary data</v>
      </c>
      <c r="I641" s="7" t="str">
        <f>IFERROR(__xludf.DUMMYFUNCTION("""COMPUTED_VALUE"""),"No salary data")</f>
        <v>No salary data</v>
      </c>
      <c r="J641" s="7" t="str">
        <f>IFERROR(__xludf.DUMMYFUNCTION("""COMPUTED_VALUE"""),"Python, Git, Scrum")</f>
        <v>Python, Git, Scrum</v>
      </c>
      <c r="K641" s="7" t="str">
        <f>IFERROR(__xludf.DUMMYFUNCTION("""COMPUTED_VALUE"""),"No job type data")</f>
        <v>No job type data</v>
      </c>
      <c r="L641" s="7" t="str">
        <f>IFERROR(__xludf.DUMMYFUNCTION("""COMPUTED_VALUE"""),"None")</f>
        <v>None</v>
      </c>
      <c r="M641" s="7"/>
      <c r="N641" s="7"/>
      <c r="O641" s="7"/>
    </row>
    <row r="642">
      <c r="A642" s="29">
        <f>IFERROR(__xludf.DUMMYFUNCTION("""COMPUTED_VALUE"""),638.0)</f>
        <v>638</v>
      </c>
      <c r="B642" s="7" t="str">
        <f>IFERROR(__xludf.DUMMYFUNCTION("""COMPUTED_VALUE"""),"vor 20 Tagen")</f>
        <v>vor 20 Tagen</v>
      </c>
      <c r="C642" s="7" t="str">
        <f>IFERROR(__xludf.DUMMYFUNCTION("""COMPUTED_VALUE"""),"Analyst / Associate, Technical Assistance Management (m/f/d)")</f>
        <v>Analyst / Associate, Technical Assistance Management (m/f/d)</v>
      </c>
      <c r="D642" s="7" t="str">
        <f>IFERROR(__xludf.DUMMYFUNCTION("""COMPUTED_VALUE"""),"Frankfurt am Main")</f>
        <v>Frankfurt am Main</v>
      </c>
      <c r="E642" s="7" t="str">
        <f>IFERROR(__xludf.DUMMYFUNCTION("""COMPUTED_VALUE"""),"Finance in Motion")</f>
        <v>Finance in Motion</v>
      </c>
      <c r="F642" s="7" t="str">
        <f>IFERROR(__xludf.DUMMYFUNCTION("""COMPUTED_VALUE"""),"None")</f>
        <v>None</v>
      </c>
      <c r="G642" s="7" t="str">
        <f>IFERROR(__xludf.DUMMYFUNCTION("""COMPUTED_VALUE"""),"No salary data")</f>
        <v>No salary data</v>
      </c>
      <c r="H642" s="7" t="str">
        <f>IFERROR(__xludf.DUMMYFUNCTION("""COMPUTED_VALUE"""),"No salary data")</f>
        <v>No salary data</v>
      </c>
      <c r="I642" s="7" t="str">
        <f>IFERROR(__xludf.DUMMYFUNCTION("""COMPUTED_VALUE"""),"No salary data")</f>
        <v>No salary data</v>
      </c>
      <c r="J642" s="7" t="str">
        <f>IFERROR(__xludf.DUMMYFUNCTION("""COMPUTED_VALUE"""),"Excel, Agile")</f>
        <v>Excel, Agile</v>
      </c>
      <c r="K642" s="7" t="str">
        <f>IFERROR(__xludf.DUMMYFUNCTION("""COMPUTED_VALUE"""),"No job type data")</f>
        <v>No job type data</v>
      </c>
      <c r="L642" s="7" t="str">
        <f>IFERROR(__xludf.DUMMYFUNCTION("""COMPUTED_VALUE"""),"None")</f>
        <v>None</v>
      </c>
      <c r="M642" s="7"/>
      <c r="N642" s="7"/>
      <c r="O642" s="7"/>
    </row>
    <row r="643">
      <c r="A643" s="29">
        <f>IFERROR(__xludf.DUMMYFUNCTION("""COMPUTED_VALUE"""),639.0)</f>
        <v>639</v>
      </c>
      <c r="B643" s="7" t="str">
        <f>IFERROR(__xludf.DUMMYFUNCTION("""COMPUTED_VALUE"""),"Vor mehr als 30 Tagen")</f>
        <v>Vor mehr als 30 Tagen</v>
      </c>
      <c r="C643" s="7" t="str">
        <f>IFERROR(__xludf.DUMMYFUNCTION("""COMPUTED_VALUE"""),"PraktikantIn Data Science &amp; Management Consulting (m/f/x)")</f>
        <v>PraktikantIn Data Science &amp; Management Consulting (m/f/x)</v>
      </c>
      <c r="D643" s="7" t="str">
        <f>IFERROR(__xludf.DUMMYFUNCTION("""COMPUTED_VALUE"""),"München")</f>
        <v>München</v>
      </c>
      <c r="E643" s="7" t="str">
        <f>IFERROR(__xludf.DUMMYFUNCTION("""COMPUTED_VALUE"""),"Celonis SE")</f>
        <v>Celonis SE</v>
      </c>
      <c r="F643" s="7" t="str">
        <f>IFERROR(__xludf.DUMMYFUNCTION("""COMPUTED_VALUE"""),"None")</f>
        <v>None</v>
      </c>
      <c r="G643" s="7" t="str">
        <f>IFERROR(__xludf.DUMMYFUNCTION("""COMPUTED_VALUE"""),"No salary data")</f>
        <v>No salary data</v>
      </c>
      <c r="H643" s="7" t="str">
        <f>IFERROR(__xludf.DUMMYFUNCTION("""COMPUTED_VALUE"""),"No salary data")</f>
        <v>No salary data</v>
      </c>
      <c r="I643" s="7" t="str">
        <f>IFERROR(__xludf.DUMMYFUNCTION("""COMPUTED_VALUE"""),"No salary data")</f>
        <v>No salary data</v>
      </c>
      <c r="J643" s="7" t="str">
        <f>IFERROR(__xludf.DUMMYFUNCTION("""COMPUTED_VALUE"""),"SQL")</f>
        <v>SQL</v>
      </c>
      <c r="K643" s="7" t="str">
        <f>IFERROR(__xludf.DUMMYFUNCTION("""COMPUTED_VALUE"""),"No job type data")</f>
        <v>No job type data</v>
      </c>
      <c r="L643" s="7" t="str">
        <f>IFERROR(__xludf.DUMMYFUNCTION("""COMPUTED_VALUE"""),"4,3")</f>
        <v>4,3</v>
      </c>
      <c r="M643" s="7"/>
      <c r="N643" s="7"/>
      <c r="O643" s="7"/>
    </row>
    <row r="644">
      <c r="A644" s="29">
        <f>IFERROR(__xludf.DUMMYFUNCTION("""COMPUTED_VALUE"""),640.0)</f>
        <v>640</v>
      </c>
      <c r="B644" s="7" t="str">
        <f>IFERROR(__xludf.DUMMYFUNCTION("""COMPUTED_VALUE"""),"vor 25 Tagen")</f>
        <v>vor 25 Tagen</v>
      </c>
      <c r="C644" s="7" t="str">
        <f>IFERROR(__xludf.DUMMYFUNCTION("""COMPUTED_VALUE"""),"Koordinator/-in (m/w/d) Open Data und GIS")</f>
        <v>Koordinator/-in (m/w/d) Open Data und GIS</v>
      </c>
      <c r="D644" s="7" t="str">
        <f>IFERROR(__xludf.DUMMYFUNCTION("""COMPUTED_VALUE"""),"Potsdam")</f>
        <v>Potsdam</v>
      </c>
      <c r="E644" s="7" t="str">
        <f>IFERROR(__xludf.DUMMYFUNCTION("""COMPUTED_VALUE"""),"Landeshauptstadt Potsdam")</f>
        <v>Landeshauptstadt Potsdam</v>
      </c>
      <c r="F644" s="7" t="str">
        <f>IFERROR(__xludf.DUMMYFUNCTION("""COMPUTED_VALUE"""),"None")</f>
        <v>None</v>
      </c>
      <c r="G644" s="7" t="str">
        <f>IFERROR(__xludf.DUMMYFUNCTION("""COMPUTED_VALUE"""),"No salary data")</f>
        <v>No salary data</v>
      </c>
      <c r="H644" s="7" t="str">
        <f>IFERROR(__xludf.DUMMYFUNCTION("""COMPUTED_VALUE"""),"No salary data")</f>
        <v>No salary data</v>
      </c>
      <c r="I644" s="7" t="str">
        <f>IFERROR(__xludf.DUMMYFUNCTION("""COMPUTED_VALUE"""),"No salary data")</f>
        <v>No salary data</v>
      </c>
      <c r="J644" s="7" t="str">
        <f>IFERROR(__xludf.DUMMYFUNCTION("""COMPUTED_VALUE"""),"SQL")</f>
        <v>SQL</v>
      </c>
      <c r="K644" s="7" t="str">
        <f>IFERROR(__xludf.DUMMYFUNCTION("""COMPUTED_VALUE"""),"No job type data")</f>
        <v>No job type data</v>
      </c>
      <c r="L644" s="7" t="str">
        <f>IFERROR(__xludf.DUMMYFUNCTION("""COMPUTED_VALUE"""),"None")</f>
        <v>None</v>
      </c>
      <c r="M644" s="7"/>
      <c r="N644" s="7"/>
      <c r="O644" s="7"/>
    </row>
    <row r="645">
      <c r="A645" s="29">
        <f>IFERROR(__xludf.DUMMYFUNCTION("""COMPUTED_VALUE"""),641.0)</f>
        <v>641</v>
      </c>
      <c r="B645" s="7" t="str">
        <f>IFERROR(__xludf.DUMMYFUNCTION("""COMPUTED_VALUE"""),"Vor mehr als 30 Tagen")</f>
        <v>Vor mehr als 30 Tagen</v>
      </c>
      <c r="C645" s="7" t="str">
        <f>IFERROR(__xludf.DUMMYFUNCTION("""COMPUTED_VALUE"""),"Lead Business Analyst Data (m/w/d)")</f>
        <v>Lead Business Analyst Data (m/w/d)</v>
      </c>
      <c r="D645" s="7" t="str">
        <f>IFERROR(__xludf.DUMMYFUNCTION("""COMPUTED_VALUE"""),"Bad Homburg vor der Höhe")</f>
        <v>Bad Homburg vor der Höhe</v>
      </c>
      <c r="E645" s="7" t="str">
        <f>IFERROR(__xludf.DUMMYFUNCTION("""COMPUTED_VALUE"""),"Baloise Group")</f>
        <v>Baloise Group</v>
      </c>
      <c r="F645" s="7" t="str">
        <f>IFERROR(__xludf.DUMMYFUNCTION("""COMPUTED_VALUE"""),"None")</f>
        <v>None</v>
      </c>
      <c r="G645" s="7" t="str">
        <f>IFERROR(__xludf.DUMMYFUNCTION("""COMPUTED_VALUE"""),"No salary data")</f>
        <v>No salary data</v>
      </c>
      <c r="H645" s="7" t="str">
        <f>IFERROR(__xludf.DUMMYFUNCTION("""COMPUTED_VALUE"""),"No salary data")</f>
        <v>No salary data</v>
      </c>
      <c r="I645" s="7" t="str">
        <f>IFERROR(__xludf.DUMMYFUNCTION("""COMPUTED_VALUE"""),"No salary data")</f>
        <v>No salary data</v>
      </c>
      <c r="J645" s="7" t="str">
        <f>IFERROR(__xludf.DUMMYFUNCTION("""COMPUTED_VALUE"""),"SQL, Excel")</f>
        <v>SQL, Excel</v>
      </c>
      <c r="K645" s="7" t="str">
        <f>IFERROR(__xludf.DUMMYFUNCTION("""COMPUTED_VALUE"""),"No job type data")</f>
        <v>No job type data</v>
      </c>
      <c r="L645" s="7" t="str">
        <f>IFERROR(__xludf.DUMMYFUNCTION("""COMPUTED_VALUE"""),"None")</f>
        <v>None</v>
      </c>
      <c r="M645" s="7"/>
      <c r="N645" s="7"/>
      <c r="O645" s="7"/>
    </row>
    <row r="646">
      <c r="A646" s="29">
        <f>IFERROR(__xludf.DUMMYFUNCTION("""COMPUTED_VALUE"""),642.0)</f>
        <v>642</v>
      </c>
      <c r="B646" s="7" t="str">
        <f>IFERROR(__xludf.DUMMYFUNCTION("""COMPUTED_VALUE"""),"vor 6 Tagen")</f>
        <v>vor 6 Tagen</v>
      </c>
      <c r="C646" s="7" t="str">
        <f>IFERROR(__xludf.DUMMYFUNCTION("""COMPUTED_VALUE"""),"Junior Data Analyst – Bereich Politics &amp; Public Affairs (m/w...")</f>
        <v>Junior Data Analyst – Bereich Politics &amp; Public Affairs (m/w...</v>
      </c>
      <c r="D646" s="7" t="str">
        <f>IFERROR(__xludf.DUMMYFUNCTION("""COMPUTED_VALUE"""),"Berlin")</f>
        <v>Berlin</v>
      </c>
      <c r="E646" s="7" t="str">
        <f>IFERROR(__xludf.DUMMYFUNCTION("""COMPUTED_VALUE"""),"Storymachine GmbH")</f>
        <v>Storymachine GmbH</v>
      </c>
      <c r="F646" s="7" t="str">
        <f>IFERROR(__xludf.DUMMYFUNCTION("""COMPUTED_VALUE"""),"None")</f>
        <v>None</v>
      </c>
      <c r="G646" s="7" t="str">
        <f>IFERROR(__xludf.DUMMYFUNCTION("""COMPUTED_VALUE"""),"No salary data")</f>
        <v>No salary data</v>
      </c>
      <c r="H646" s="7" t="str">
        <f>IFERROR(__xludf.DUMMYFUNCTION("""COMPUTED_VALUE"""),"No salary data")</f>
        <v>No salary data</v>
      </c>
      <c r="I646" s="7" t="str">
        <f>IFERROR(__xludf.DUMMYFUNCTION("""COMPUTED_VALUE"""),"No salary data")</f>
        <v>No salary data</v>
      </c>
      <c r="J646" s="7" t="str">
        <f>IFERROR(__xludf.DUMMYFUNCTION("""COMPUTED_VALUE"""),"Git")</f>
        <v>Git</v>
      </c>
      <c r="K646" s="7" t="str">
        <f>IFERROR(__xludf.DUMMYFUNCTION("""COMPUTED_VALUE"""),"No job type data")</f>
        <v>No job type data</v>
      </c>
      <c r="L646" s="7" t="str">
        <f>IFERROR(__xludf.DUMMYFUNCTION("""COMPUTED_VALUE"""),"None")</f>
        <v>None</v>
      </c>
      <c r="M646" s="7"/>
      <c r="N646" s="7"/>
      <c r="O646" s="7"/>
    </row>
    <row r="647">
      <c r="A647" s="29">
        <f>IFERROR(__xludf.DUMMYFUNCTION("""COMPUTED_VALUE"""),643.0)</f>
        <v>643</v>
      </c>
      <c r="B647" s="7" t="str">
        <f>IFERROR(__xludf.DUMMYFUNCTION("""COMPUTED_VALUE"""),"Vor mehr als 30 Tagen")</f>
        <v>Vor mehr als 30 Tagen</v>
      </c>
      <c r="C647" s="7" t="str">
        <f>IFERROR(__xludf.DUMMYFUNCTION("""COMPUTED_VALUE"""),"Data Analytics Engineer (m/w/d)")</f>
        <v>Data Analytics Engineer (m/w/d)</v>
      </c>
      <c r="D647" s="7" t="str">
        <f>IFERROR(__xludf.DUMMYFUNCTION("""COMPUTED_VALUE"""),"Hamburg")</f>
        <v>Hamburg</v>
      </c>
      <c r="E647" s="7" t="str">
        <f>IFERROR(__xludf.DUMMYFUNCTION("""COMPUTED_VALUE"""),"Jungheinrich")</f>
        <v>Jungheinrich</v>
      </c>
      <c r="F647" s="7" t="str">
        <f>IFERROR(__xludf.DUMMYFUNCTION("""COMPUTED_VALUE"""),"None")</f>
        <v>None</v>
      </c>
      <c r="G647" s="7" t="str">
        <f>IFERROR(__xludf.DUMMYFUNCTION("""COMPUTED_VALUE"""),"No salary data")</f>
        <v>No salary data</v>
      </c>
      <c r="H647" s="7" t="str">
        <f>IFERROR(__xludf.DUMMYFUNCTION("""COMPUTED_VALUE"""),"No salary data")</f>
        <v>No salary data</v>
      </c>
      <c r="I647" s="7" t="str">
        <f>IFERROR(__xludf.DUMMYFUNCTION("""COMPUTED_VALUE"""),"No salary data")</f>
        <v>No salary data</v>
      </c>
      <c r="J647" s="7" t="str">
        <f>IFERROR(__xludf.DUMMYFUNCTION("""COMPUTED_VALUE"""),"Python, SQL, Machine Learning, Agile")</f>
        <v>Python, SQL, Machine Learning, Agile</v>
      </c>
      <c r="K647" s="7" t="str">
        <f>IFERROR(__xludf.DUMMYFUNCTION("""COMPUTED_VALUE"""),"No job type data")</f>
        <v>No job type data</v>
      </c>
      <c r="L647" s="7" t="str">
        <f>IFERROR(__xludf.DUMMYFUNCTION("""COMPUTED_VALUE"""),"3,3")</f>
        <v>3,3</v>
      </c>
      <c r="M647" s="7"/>
      <c r="N647" s="7"/>
      <c r="O647" s="7"/>
    </row>
    <row r="648">
      <c r="A648" s="29">
        <f>IFERROR(__xludf.DUMMYFUNCTION("""COMPUTED_VALUE"""),644.0)</f>
        <v>644</v>
      </c>
      <c r="B648" s="7" t="str">
        <f>IFERROR(__xludf.DUMMYFUNCTION("""COMPUTED_VALUE"""),"vor 19 Tagen")</f>
        <v>vor 19 Tagen</v>
      </c>
      <c r="C648" s="7" t="str">
        <f>IFERROR(__xludf.DUMMYFUNCTION("""COMPUTED_VALUE"""),"Working Student/Internship Data Efficiency &amp; Analytics (m/f/...")</f>
        <v>Working Student/Internship Data Efficiency &amp; Analytics (m/f/...</v>
      </c>
      <c r="D648" s="7" t="str">
        <f>IFERROR(__xludf.DUMMYFUNCTION("""COMPUTED_VALUE"""),"Hamburg")</f>
        <v>Hamburg</v>
      </c>
      <c r="E648" s="7" t="str">
        <f>IFERROR(__xludf.DUMMYFUNCTION("""COMPUTED_VALUE"""),"Philips")</f>
        <v>Philips</v>
      </c>
      <c r="F648" s="7" t="str">
        <f>IFERROR(__xludf.DUMMYFUNCTION("""COMPUTED_VALUE"""),"None")</f>
        <v>None</v>
      </c>
      <c r="G648" s="7" t="str">
        <f>IFERROR(__xludf.DUMMYFUNCTION("""COMPUTED_VALUE"""),"No salary data")</f>
        <v>No salary data</v>
      </c>
      <c r="H648" s="7" t="str">
        <f>IFERROR(__xludf.DUMMYFUNCTION("""COMPUTED_VALUE"""),"No salary data")</f>
        <v>No salary data</v>
      </c>
      <c r="I648" s="7" t="str">
        <f>IFERROR(__xludf.DUMMYFUNCTION("""COMPUTED_VALUE"""),"No salary data")</f>
        <v>No salary data</v>
      </c>
      <c r="J648" s="7" t="str">
        <f>IFERROR(__xludf.DUMMYFUNCTION("""COMPUTED_VALUE"""),"Excel")</f>
        <v>Excel</v>
      </c>
      <c r="K648" s="7" t="str">
        <f>IFERROR(__xludf.DUMMYFUNCTION("""COMPUTED_VALUE"""),"Internship")</f>
        <v>Internship</v>
      </c>
      <c r="L648" s="7" t="str">
        <f>IFERROR(__xludf.DUMMYFUNCTION("""COMPUTED_VALUE"""),"4,0")</f>
        <v>4,0</v>
      </c>
      <c r="M648" s="7"/>
      <c r="N648" s="7"/>
      <c r="O648" s="7"/>
    </row>
    <row r="649">
      <c r="A649" s="29">
        <f>IFERROR(__xludf.DUMMYFUNCTION("""COMPUTED_VALUE"""),645.0)</f>
        <v>645</v>
      </c>
      <c r="B649" s="7" t="str">
        <f>IFERROR(__xludf.DUMMYFUNCTION("""COMPUTED_VALUE"""),"Vor mehr als 30 Tagen")</f>
        <v>Vor mehr als 30 Tagen</v>
      </c>
      <c r="C649" s="7" t="str">
        <f>IFERROR(__xludf.DUMMYFUNCTION("""COMPUTED_VALUE"""),"Automotive Application Engineer - Data Science (f/m/d)")</f>
        <v>Automotive Application Engineer - Data Science (f/m/d)</v>
      </c>
      <c r="D649" s="7" t="str">
        <f>IFERROR(__xludf.DUMMYFUNCTION("""COMPUTED_VALUE"""),"München")</f>
        <v>München</v>
      </c>
      <c r="E649" s="7" t="str">
        <f>IFERROR(__xludf.DUMMYFUNCTION("""COMPUTED_VALUE"""),"MathWorks")</f>
        <v>MathWorks</v>
      </c>
      <c r="F649" s="7" t="str">
        <f>IFERROR(__xludf.DUMMYFUNCTION("""COMPUTED_VALUE"""),"None")</f>
        <v>None</v>
      </c>
      <c r="G649" s="7" t="str">
        <f>IFERROR(__xludf.DUMMYFUNCTION("""COMPUTED_VALUE"""),"No salary data")</f>
        <v>No salary data</v>
      </c>
      <c r="H649" s="7" t="str">
        <f>IFERROR(__xludf.DUMMYFUNCTION("""COMPUTED_VALUE"""),"No salary data")</f>
        <v>No salary data</v>
      </c>
      <c r="I649" s="7" t="str">
        <f>IFERROR(__xludf.DUMMYFUNCTION("""COMPUTED_VALUE"""),"No salary data")</f>
        <v>No salary data</v>
      </c>
      <c r="J649" s="7" t="str">
        <f>IFERROR(__xludf.DUMMYFUNCTION("""COMPUTED_VALUE"""),"Excel, Machine Learning, Deep Learning, Git")</f>
        <v>Excel, Machine Learning, Deep Learning, Git</v>
      </c>
      <c r="K649" s="7" t="str">
        <f>IFERROR(__xludf.DUMMYFUNCTION("""COMPUTED_VALUE"""),"No job type data")</f>
        <v>No job type data</v>
      </c>
      <c r="L649" s="7" t="str">
        <f>IFERROR(__xludf.DUMMYFUNCTION("""COMPUTED_VALUE"""),"4,0")</f>
        <v>4,0</v>
      </c>
      <c r="M649" s="7"/>
      <c r="N649" s="7"/>
      <c r="O649" s="7"/>
    </row>
    <row r="650">
      <c r="A650" s="29">
        <f>IFERROR(__xludf.DUMMYFUNCTION("""COMPUTED_VALUE"""),646.0)</f>
        <v>646</v>
      </c>
      <c r="B650" s="7" t="str">
        <f>IFERROR(__xludf.DUMMYFUNCTION("""COMPUTED_VALUE"""),"vor 2 Tagen")</f>
        <v>vor 2 Tagen</v>
      </c>
      <c r="C650" s="7" t="str">
        <f>IFERROR(__xludf.DUMMYFUNCTION("""COMPUTED_VALUE"""),"Werkstudent (w/m/d) Sales Data Analysis")</f>
        <v>Werkstudent (w/m/d) Sales Data Analysis</v>
      </c>
      <c r="D650" s="7" t="str">
        <f>IFERROR(__xludf.DUMMYFUNCTION("""COMPUTED_VALUE"""),"Frankfurt am Main")</f>
        <v>Frankfurt am Main</v>
      </c>
      <c r="E650" s="7" t="str">
        <f>IFERROR(__xludf.DUMMYFUNCTION("""COMPUTED_VALUE"""),"MOBIS Parts Europe N.V.")</f>
        <v>MOBIS Parts Europe N.V.</v>
      </c>
      <c r="F650" s="7" t="str">
        <f>IFERROR(__xludf.DUMMYFUNCTION("""COMPUTED_VALUE"""),"None")</f>
        <v>None</v>
      </c>
      <c r="G650" s="7" t="str">
        <f>IFERROR(__xludf.DUMMYFUNCTION("""COMPUTED_VALUE"""),"No salary data")</f>
        <v>No salary data</v>
      </c>
      <c r="H650" s="7" t="str">
        <f>IFERROR(__xludf.DUMMYFUNCTION("""COMPUTED_VALUE"""),"No salary data")</f>
        <v>No salary data</v>
      </c>
      <c r="I650" s="7" t="str">
        <f>IFERROR(__xludf.DUMMYFUNCTION("""COMPUTED_VALUE"""),"No salary data")</f>
        <v>No salary data</v>
      </c>
      <c r="J650" s="7" t="str">
        <f>IFERROR(__xludf.DUMMYFUNCTION("""COMPUTED_VALUE"""),"Excel")</f>
        <v>Excel</v>
      </c>
      <c r="K650" s="7" t="str">
        <f>IFERROR(__xludf.DUMMYFUNCTION("""COMPUTED_VALUE"""),"No job type data")</f>
        <v>No job type data</v>
      </c>
      <c r="L650" s="7" t="str">
        <f>IFERROR(__xludf.DUMMYFUNCTION("""COMPUTED_VALUE"""),"None")</f>
        <v>None</v>
      </c>
      <c r="M650" s="7"/>
      <c r="N650" s="7"/>
      <c r="O650" s="7"/>
    </row>
    <row r="651">
      <c r="A651" s="29">
        <f>IFERROR(__xludf.DUMMYFUNCTION("""COMPUTED_VALUE"""),647.0)</f>
        <v>647</v>
      </c>
      <c r="B651" s="7" t="str">
        <f>IFERROR(__xludf.DUMMYFUNCTION("""COMPUTED_VALUE"""),"Gerade geschaltet")</f>
        <v>Gerade geschaltet</v>
      </c>
      <c r="C651" s="7" t="str">
        <f>IFERROR(__xludf.DUMMYFUNCTION("""COMPUTED_VALUE"""),"Wissenschaftliche Mitarbeiterin/Wissenschaftlicher Mitarbeit...")</f>
        <v>Wissenschaftliche Mitarbeiterin/Wissenschaftlicher Mitarbeit...</v>
      </c>
      <c r="D651" s="7" t="str">
        <f>IFERROR(__xludf.DUMMYFUNCTION("""COMPUTED_VALUE"""),"Jülich")</f>
        <v>Jülich</v>
      </c>
      <c r="E651" s="7" t="str">
        <f>IFERROR(__xludf.DUMMYFUNCTION("""COMPUTED_VALUE"""),"FH Aachen")</f>
        <v>FH Aachen</v>
      </c>
      <c r="F651" s="7" t="str">
        <f>IFERROR(__xludf.DUMMYFUNCTION("""COMPUTED_VALUE"""),"None")</f>
        <v>None</v>
      </c>
      <c r="G651" s="7" t="str">
        <f>IFERROR(__xludf.DUMMYFUNCTION("""COMPUTED_VALUE"""),"No salary data")</f>
        <v>No salary data</v>
      </c>
      <c r="H651" s="7" t="str">
        <f>IFERROR(__xludf.DUMMYFUNCTION("""COMPUTED_VALUE"""),"No salary data")</f>
        <v>No salary data</v>
      </c>
      <c r="I651" s="7" t="str">
        <f>IFERROR(__xludf.DUMMYFUNCTION("""COMPUTED_VALUE"""),"No salary data")</f>
        <v>No salary data</v>
      </c>
      <c r="J651" s="7" t="str">
        <f>IFERROR(__xludf.DUMMYFUNCTION("""COMPUTED_VALUE"""),"Python, Machine Learning, Deep Learning")</f>
        <v>Python, Machine Learning, Deep Learning</v>
      </c>
      <c r="K651" s="7" t="str">
        <f>IFERROR(__xludf.DUMMYFUNCTION("""COMPUTED_VALUE"""),"No job type data")</f>
        <v>No job type data</v>
      </c>
      <c r="L651" s="7" t="str">
        <f>IFERROR(__xludf.DUMMYFUNCTION("""COMPUTED_VALUE"""),"3,8")</f>
        <v>3,8</v>
      </c>
      <c r="M651" s="7"/>
      <c r="N651" s="7"/>
      <c r="O651" s="7"/>
    </row>
    <row r="652">
      <c r="A652" s="29">
        <f>IFERROR(__xludf.DUMMYFUNCTION("""COMPUTED_VALUE"""),648.0)</f>
        <v>648</v>
      </c>
      <c r="B652" s="7" t="str">
        <f>IFERROR(__xludf.DUMMYFUNCTION("""COMPUTED_VALUE"""),"Vor mehr als 30 Tagen")</f>
        <v>Vor mehr als 30 Tagen</v>
      </c>
      <c r="C652" s="7" t="str">
        <f>IFERROR(__xludf.DUMMYFUNCTION("""COMPUTED_VALUE"""),"Data Scientist")</f>
        <v>Data Scientist</v>
      </c>
      <c r="D652" s="7" t="str">
        <f>IFERROR(__xludf.DUMMYFUNCTION("""COMPUTED_VALUE"""),"Düsseldorf")</f>
        <v>Düsseldorf</v>
      </c>
      <c r="E652" s="7" t="str">
        <f>IFERROR(__xludf.DUMMYFUNCTION("""COMPUTED_VALUE"""),"ORAYLIS GmbH Business Intelligence")</f>
        <v>ORAYLIS GmbH Business Intelligence</v>
      </c>
      <c r="F652" s="7" t="str">
        <f>IFERROR(__xludf.DUMMYFUNCTION("""COMPUTED_VALUE"""),"None")</f>
        <v>None</v>
      </c>
      <c r="G652" s="7" t="str">
        <f>IFERROR(__xludf.DUMMYFUNCTION("""COMPUTED_VALUE"""),"No salary data")</f>
        <v>No salary data</v>
      </c>
      <c r="H652" s="7" t="str">
        <f>IFERROR(__xludf.DUMMYFUNCTION("""COMPUTED_VALUE"""),"No salary data")</f>
        <v>No salary data</v>
      </c>
      <c r="I652" s="7" t="str">
        <f>IFERROR(__xludf.DUMMYFUNCTION("""COMPUTED_VALUE"""),"No salary data")</f>
        <v>No salary data</v>
      </c>
      <c r="J652" s="7" t="str">
        <f>IFERROR(__xludf.DUMMYFUNCTION("""COMPUTED_VALUE"""),"Python, SQL, Machine Learning, Git")</f>
        <v>Python, SQL, Machine Learning, Git</v>
      </c>
      <c r="K652" s="7" t="str">
        <f>IFERROR(__xludf.DUMMYFUNCTION("""COMPUTED_VALUE"""),"No job type data")</f>
        <v>No job type data</v>
      </c>
      <c r="L652" s="7" t="str">
        <f>IFERROR(__xludf.DUMMYFUNCTION("""COMPUTED_VALUE"""),"None")</f>
        <v>None</v>
      </c>
      <c r="M652" s="7"/>
      <c r="N652" s="7"/>
      <c r="O652" s="7"/>
    </row>
    <row r="653">
      <c r="A653" s="29">
        <f>IFERROR(__xludf.DUMMYFUNCTION("""COMPUTED_VALUE"""),649.0)</f>
        <v>649</v>
      </c>
      <c r="B653" s="7" t="str">
        <f>IFERROR(__xludf.DUMMYFUNCTION("""COMPUTED_VALUE"""),"Vor mehr als 30 Tagen")</f>
        <v>Vor mehr als 30 Tagen</v>
      </c>
      <c r="C653" s="7" t="str">
        <f>IFERROR(__xludf.DUMMYFUNCTION("""COMPUTED_VALUE"""),"Data Scientist (f/m/d) for our Demand Prediction Team")</f>
        <v>Data Scientist (f/m/d) for our Demand Prediction Team</v>
      </c>
      <c r="D653" s="7" t="str">
        <f>IFERROR(__xludf.DUMMYFUNCTION("""COMPUTED_VALUE"""),"Hamburg")</f>
        <v>Hamburg</v>
      </c>
      <c r="E653" s="7" t="str">
        <f>IFERROR(__xludf.DUMMYFUNCTION("""COMPUTED_VALUE"""),"MOIA")</f>
        <v>MOIA</v>
      </c>
      <c r="F653" s="7" t="str">
        <f>IFERROR(__xludf.DUMMYFUNCTION("""COMPUTED_VALUE"""),"None")</f>
        <v>None</v>
      </c>
      <c r="G653" s="7" t="str">
        <f>IFERROR(__xludf.DUMMYFUNCTION("""COMPUTED_VALUE"""),"No salary data")</f>
        <v>No salary data</v>
      </c>
      <c r="H653" s="7" t="str">
        <f>IFERROR(__xludf.DUMMYFUNCTION("""COMPUTED_VALUE"""),"No salary data")</f>
        <v>No salary data</v>
      </c>
      <c r="I653" s="7" t="str">
        <f>IFERROR(__xludf.DUMMYFUNCTION("""COMPUTED_VALUE"""),"No salary data")</f>
        <v>No salary data</v>
      </c>
      <c r="J653" s="7" t="str">
        <f>IFERROR(__xludf.DUMMYFUNCTION("""COMPUTED_VALUE"""),"Python, Machine Learning, Statistic")</f>
        <v>Python, Machine Learning, Statistic</v>
      </c>
      <c r="K653" s="7" t="str">
        <f>IFERROR(__xludf.DUMMYFUNCTION("""COMPUTED_VALUE"""),"No job type data")</f>
        <v>No job type data</v>
      </c>
      <c r="L653" s="7" t="str">
        <f>IFERROR(__xludf.DUMMYFUNCTION("""COMPUTED_VALUE"""),"1,5")</f>
        <v>1,5</v>
      </c>
      <c r="M653" s="7"/>
      <c r="N653" s="7"/>
      <c r="O653" s="7"/>
    </row>
    <row r="654">
      <c r="A654" s="29">
        <f>IFERROR(__xludf.DUMMYFUNCTION("""COMPUTED_VALUE"""),650.0)</f>
        <v>650</v>
      </c>
      <c r="B654" s="7" t="str">
        <f>IFERROR(__xludf.DUMMYFUNCTION("""COMPUTED_VALUE"""),"Vor mehr als 30 Tagen")</f>
        <v>Vor mehr als 30 Tagen</v>
      </c>
      <c r="C654" s="7" t="str">
        <f>IFERROR(__xludf.DUMMYFUNCTION("""COMPUTED_VALUE"""),"Consultant (m/w/d) Data &amp; Analytics")</f>
        <v>Consultant (m/w/d) Data &amp; Analytics</v>
      </c>
      <c r="D654" s="7" t="str">
        <f>IFERROR(__xludf.DUMMYFUNCTION("""COMPUTED_VALUE"""),"Deutschland")</f>
        <v>Deutschland</v>
      </c>
      <c r="E654" s="7" t="str">
        <f>IFERROR(__xludf.DUMMYFUNCTION("""COMPUTED_VALUE"""),"Ceteris AG")</f>
        <v>Ceteris AG</v>
      </c>
      <c r="F654" s="7" t="str">
        <f>IFERROR(__xludf.DUMMYFUNCTION("""COMPUTED_VALUE"""),"None")</f>
        <v>None</v>
      </c>
      <c r="G654" s="7" t="str">
        <f>IFERROR(__xludf.DUMMYFUNCTION("""COMPUTED_VALUE"""),"No salary data")</f>
        <v>No salary data</v>
      </c>
      <c r="H654" s="7" t="str">
        <f>IFERROR(__xludf.DUMMYFUNCTION("""COMPUTED_VALUE"""),"No salary data")</f>
        <v>No salary data</v>
      </c>
      <c r="I654" s="7" t="str">
        <f>IFERROR(__xludf.DUMMYFUNCTION("""COMPUTED_VALUE"""),"No salary data")</f>
        <v>No salary data</v>
      </c>
      <c r="J654" s="7" t="str">
        <f>IFERROR(__xludf.DUMMYFUNCTION("""COMPUTED_VALUE"""),"SQL, Tableau")</f>
        <v>SQL, Tableau</v>
      </c>
      <c r="K654" s="7" t="str">
        <f>IFERROR(__xludf.DUMMYFUNCTION("""COMPUTED_VALUE"""),"No job type data")</f>
        <v>No job type data</v>
      </c>
      <c r="L654" s="7" t="str">
        <f>IFERROR(__xludf.DUMMYFUNCTION("""COMPUTED_VALUE"""),"None")</f>
        <v>None</v>
      </c>
      <c r="M654" s="7"/>
      <c r="N654" s="7"/>
      <c r="O654" s="7"/>
    </row>
    <row r="655">
      <c r="A655" s="29">
        <f>IFERROR(__xludf.DUMMYFUNCTION("""COMPUTED_VALUE"""),651.0)</f>
        <v>651</v>
      </c>
      <c r="B655" s="7" t="str">
        <f>IFERROR(__xludf.DUMMYFUNCTION("""COMPUTED_VALUE"""),"vor 13 Tagen")</f>
        <v>vor 13 Tagen</v>
      </c>
      <c r="C655" s="7" t="str">
        <f>IFERROR(__xludf.DUMMYFUNCTION("""COMPUTED_VALUE"""),"PreMaster Programm - Data Science")</f>
        <v>PreMaster Programm - Data Science</v>
      </c>
      <c r="D655" s="7" t="str">
        <f>IFERROR(__xludf.DUMMYFUNCTION("""COMPUTED_VALUE"""),"Stuttgart")</f>
        <v>Stuttgart</v>
      </c>
      <c r="E655" s="7" t="str">
        <f>IFERROR(__xludf.DUMMYFUNCTION("""COMPUTED_VALUE"""),"Bosch Group")</f>
        <v>Bosch Group</v>
      </c>
      <c r="F655" s="7" t="str">
        <f>IFERROR(__xludf.DUMMYFUNCTION("""COMPUTED_VALUE"""),"None")</f>
        <v>None</v>
      </c>
      <c r="G655" s="7" t="str">
        <f>IFERROR(__xludf.DUMMYFUNCTION("""COMPUTED_VALUE"""),"No salary data")</f>
        <v>No salary data</v>
      </c>
      <c r="H655" s="7" t="str">
        <f>IFERROR(__xludf.DUMMYFUNCTION("""COMPUTED_VALUE"""),"No salary data")</f>
        <v>No salary data</v>
      </c>
      <c r="I655" s="7" t="str">
        <f>IFERROR(__xludf.DUMMYFUNCTION("""COMPUTED_VALUE"""),"No salary data")</f>
        <v>No salary data</v>
      </c>
      <c r="J655" s="7" t="str">
        <f>IFERROR(__xludf.DUMMYFUNCTION("""COMPUTED_VALUE"""),"Python, Machine Learning, Git")</f>
        <v>Python, Machine Learning, Git</v>
      </c>
      <c r="K655" s="7" t="str">
        <f>IFERROR(__xludf.DUMMYFUNCTION("""COMPUTED_VALUE"""),"No job type data")</f>
        <v>No job type data</v>
      </c>
      <c r="L655" s="7" t="str">
        <f>IFERROR(__xludf.DUMMYFUNCTION("""COMPUTED_VALUE"""),"4,1")</f>
        <v>4,1</v>
      </c>
      <c r="M655" s="7"/>
      <c r="N655" s="7"/>
      <c r="O655" s="7"/>
    </row>
    <row r="656">
      <c r="A656" s="29">
        <f>IFERROR(__xludf.DUMMYFUNCTION("""COMPUTED_VALUE"""),652.0)</f>
        <v>652</v>
      </c>
      <c r="B656" s="7" t="str">
        <f>IFERROR(__xludf.DUMMYFUNCTION("""COMPUTED_VALUE"""),"vor 24 Tagen")</f>
        <v>vor 24 Tagen</v>
      </c>
      <c r="C656" s="7" t="str">
        <f>IFERROR(__xludf.DUMMYFUNCTION("""COMPUTED_VALUE"""),"Geo Data Scientist/Engineer")</f>
        <v>Geo Data Scientist/Engineer</v>
      </c>
      <c r="D656" s="7" t="str">
        <f>IFERROR(__xludf.DUMMYFUNCTION("""COMPUTED_VALUE"""),"München")</f>
        <v>München</v>
      </c>
      <c r="E656" s="7" t="str">
        <f>IFERROR(__xludf.DUMMYFUNCTION("""COMPUTED_VALUE"""),"Hawa Dawa GmbH")</f>
        <v>Hawa Dawa GmbH</v>
      </c>
      <c r="F656" s="7" t="str">
        <f>IFERROR(__xludf.DUMMYFUNCTION("""COMPUTED_VALUE"""),"None")</f>
        <v>None</v>
      </c>
      <c r="G656" s="7" t="str">
        <f>IFERROR(__xludf.DUMMYFUNCTION("""COMPUTED_VALUE"""),"No salary data")</f>
        <v>No salary data</v>
      </c>
      <c r="H656" s="7" t="str">
        <f>IFERROR(__xludf.DUMMYFUNCTION("""COMPUTED_VALUE"""),"No salary data")</f>
        <v>No salary data</v>
      </c>
      <c r="I656" s="7" t="str">
        <f>IFERROR(__xludf.DUMMYFUNCTION("""COMPUTED_VALUE"""),"No salary data")</f>
        <v>No salary data</v>
      </c>
      <c r="J656" s="7" t="str">
        <f>IFERROR(__xludf.DUMMYFUNCTION("""COMPUTED_VALUE"""),"Python, Excel, Machine Learning, Statistic, Git, Agile")</f>
        <v>Python, Excel, Machine Learning, Statistic, Git, Agile</v>
      </c>
      <c r="K656" s="7" t="str">
        <f>IFERROR(__xludf.DUMMYFUNCTION("""COMPUTED_VALUE"""),"No job type data")</f>
        <v>No job type data</v>
      </c>
      <c r="L656" s="7" t="str">
        <f>IFERROR(__xludf.DUMMYFUNCTION("""COMPUTED_VALUE"""),"None")</f>
        <v>None</v>
      </c>
      <c r="M656" s="7"/>
      <c r="N656" s="7"/>
      <c r="O656" s="7"/>
    </row>
    <row r="657">
      <c r="A657" s="29">
        <f>IFERROR(__xludf.DUMMYFUNCTION("""COMPUTED_VALUE"""),653.0)</f>
        <v>653</v>
      </c>
      <c r="B657" s="7" t="str">
        <f>IFERROR(__xludf.DUMMYFUNCTION("""COMPUTED_VALUE"""),"Vor mehr als 30 Tagen")</f>
        <v>Vor mehr als 30 Tagen</v>
      </c>
      <c r="C657" s="7" t="str">
        <f>IFERROR(__xludf.DUMMYFUNCTION("""COMPUTED_VALUE"""),"Data Scientist")</f>
        <v>Data Scientist</v>
      </c>
      <c r="D657" s="7" t="str">
        <f>IFERROR(__xludf.DUMMYFUNCTION("""COMPUTED_VALUE"""),"Bonn")</f>
        <v>Bonn</v>
      </c>
      <c r="E657" s="7" t="str">
        <f>IFERROR(__xludf.DUMMYFUNCTION("""COMPUTED_VALUE"""),"Bechtle GmbH &amp; Co. KG IT-Systemhaus Bonn/Köln")</f>
        <v>Bechtle GmbH &amp; Co. KG IT-Systemhaus Bonn/Köln</v>
      </c>
      <c r="F657" s="7" t="str">
        <f>IFERROR(__xludf.DUMMYFUNCTION("""COMPUTED_VALUE"""),"None")</f>
        <v>None</v>
      </c>
      <c r="G657" s="7" t="str">
        <f>IFERROR(__xludf.DUMMYFUNCTION("""COMPUTED_VALUE"""),"No salary data")</f>
        <v>No salary data</v>
      </c>
      <c r="H657" s="7" t="str">
        <f>IFERROR(__xludf.DUMMYFUNCTION("""COMPUTED_VALUE"""),"No salary data")</f>
        <v>No salary data</v>
      </c>
      <c r="I657" s="7" t="str">
        <f>IFERROR(__xludf.DUMMYFUNCTION("""COMPUTED_VALUE"""),"No salary data")</f>
        <v>No salary data</v>
      </c>
      <c r="J657" s="7" t="str">
        <f>IFERROR(__xludf.DUMMYFUNCTION("""COMPUTED_VALUE"""),"SQL, Tableau, Machine Learning")</f>
        <v>SQL, Tableau, Machine Learning</v>
      </c>
      <c r="K657" s="7" t="str">
        <f>IFERROR(__xludf.DUMMYFUNCTION("""COMPUTED_VALUE"""),"No job type data")</f>
        <v>No job type data</v>
      </c>
      <c r="L657" s="7" t="str">
        <f>IFERROR(__xludf.DUMMYFUNCTION("""COMPUTED_VALUE"""),"3,7")</f>
        <v>3,7</v>
      </c>
      <c r="M657" s="7"/>
      <c r="N657" s="7"/>
      <c r="O657" s="7"/>
    </row>
    <row r="658">
      <c r="A658" s="29">
        <f>IFERROR(__xludf.DUMMYFUNCTION("""COMPUTED_VALUE"""),654.0)</f>
        <v>654</v>
      </c>
      <c r="B658" s="7" t="str">
        <f>IFERROR(__xludf.DUMMYFUNCTION("""COMPUTED_VALUE"""),"Vor mehr als 30 Tagen")</f>
        <v>Vor mehr als 30 Tagen</v>
      </c>
      <c r="C658" s="7" t="str">
        <f>IFERROR(__xludf.DUMMYFUNCTION("""COMPUTED_VALUE"""),"Data Scientist, Drug Discovery (m/f/d)")</f>
        <v>Data Scientist, Drug Discovery (m/f/d)</v>
      </c>
      <c r="D658" s="7" t="str">
        <f>IFERROR(__xludf.DUMMYFUNCTION("""COMPUTED_VALUE"""),"Dresden")</f>
        <v>Dresden</v>
      </c>
      <c r="E658" s="7" t="str">
        <f>IFERROR(__xludf.DUMMYFUNCTION("""COMPUTED_VALUE"""),"Dewpoint Therapeutics")</f>
        <v>Dewpoint Therapeutics</v>
      </c>
      <c r="F658" s="7" t="str">
        <f>IFERROR(__xludf.DUMMYFUNCTION("""COMPUTED_VALUE"""),"None")</f>
        <v>None</v>
      </c>
      <c r="G658" s="7" t="str">
        <f>IFERROR(__xludf.DUMMYFUNCTION("""COMPUTED_VALUE"""),"No salary data")</f>
        <v>No salary data</v>
      </c>
      <c r="H658" s="7" t="str">
        <f>IFERROR(__xludf.DUMMYFUNCTION("""COMPUTED_VALUE"""),"No salary data")</f>
        <v>No salary data</v>
      </c>
      <c r="I658" s="7" t="str">
        <f>IFERROR(__xludf.DUMMYFUNCTION("""COMPUTED_VALUE"""),"No salary data")</f>
        <v>No salary data</v>
      </c>
      <c r="J658" s="7" t="str">
        <f>IFERROR(__xludf.DUMMYFUNCTION("""COMPUTED_VALUE"""),"Python, Excel, Machine Learning")</f>
        <v>Python, Excel, Machine Learning</v>
      </c>
      <c r="K658" s="7" t="str">
        <f>IFERROR(__xludf.DUMMYFUNCTION("""COMPUTED_VALUE"""),"No job type data")</f>
        <v>No job type data</v>
      </c>
      <c r="L658" s="7" t="str">
        <f>IFERROR(__xludf.DUMMYFUNCTION("""COMPUTED_VALUE"""),"None")</f>
        <v>None</v>
      </c>
      <c r="M658" s="7"/>
      <c r="N658" s="7"/>
      <c r="O658" s="7"/>
    </row>
    <row r="659">
      <c r="A659" s="29">
        <f>IFERROR(__xludf.DUMMYFUNCTION("""COMPUTED_VALUE"""),655.0)</f>
        <v>655</v>
      </c>
      <c r="B659" s="7" t="str">
        <f>IFERROR(__xludf.DUMMYFUNCTION("""COMPUTED_VALUE"""),"Vor mehr als 30 Tagen")</f>
        <v>Vor mehr als 30 Tagen</v>
      </c>
      <c r="C659" s="7" t="str">
        <f>IFERROR(__xludf.DUMMYFUNCTION("""COMPUTED_VALUE"""),"&gt; Data Lake Admin (m/w/d)")</f>
        <v>&gt; Data Lake Admin (m/w/d)</v>
      </c>
      <c r="D659" s="7" t="str">
        <f>IFERROR(__xludf.DUMMYFUNCTION("""COMPUTED_VALUE"""),"Hannover")</f>
        <v>Hannover</v>
      </c>
      <c r="E659" s="7" t="str">
        <f>IFERROR(__xludf.DUMMYFUNCTION("""COMPUTED_VALUE"""),"NORD/LB")</f>
        <v>NORD/LB</v>
      </c>
      <c r="F659" s="7" t="str">
        <f>IFERROR(__xludf.DUMMYFUNCTION("""COMPUTED_VALUE"""),"None")</f>
        <v>None</v>
      </c>
      <c r="G659" s="7" t="str">
        <f>IFERROR(__xludf.DUMMYFUNCTION("""COMPUTED_VALUE"""),"No salary data")</f>
        <v>No salary data</v>
      </c>
      <c r="H659" s="7" t="str">
        <f>IFERROR(__xludf.DUMMYFUNCTION("""COMPUTED_VALUE"""),"No salary data")</f>
        <v>No salary data</v>
      </c>
      <c r="I659" s="7" t="str">
        <f>IFERROR(__xludf.DUMMYFUNCTION("""COMPUTED_VALUE"""),"No salary data")</f>
        <v>No salary data</v>
      </c>
      <c r="J659" s="7" t="str">
        <f>IFERROR(__xludf.DUMMYFUNCTION("""COMPUTED_VALUE"""),"Python")</f>
        <v>Python</v>
      </c>
      <c r="K659" s="7" t="str">
        <f>IFERROR(__xludf.DUMMYFUNCTION("""COMPUTED_VALUE"""),"No job type data")</f>
        <v>No job type data</v>
      </c>
      <c r="L659" s="7" t="str">
        <f>IFERROR(__xludf.DUMMYFUNCTION("""COMPUTED_VALUE"""),"4,0")</f>
        <v>4,0</v>
      </c>
      <c r="M659" s="7"/>
      <c r="N659" s="7"/>
      <c r="O659" s="7"/>
    </row>
    <row r="660">
      <c r="A660" s="29">
        <f>IFERROR(__xludf.DUMMYFUNCTION("""COMPUTED_VALUE"""),656.0)</f>
        <v>656</v>
      </c>
      <c r="B660" s="7" t="str">
        <f>IFERROR(__xludf.DUMMYFUNCTION("""COMPUTED_VALUE"""),"Vor mehr als 30 Tagen")</f>
        <v>Vor mehr als 30 Tagen</v>
      </c>
      <c r="C660" s="7" t="str">
        <f>IFERROR(__xludf.DUMMYFUNCTION("""COMPUTED_VALUE"""),"Professional Data Scientist (m/w/d)")</f>
        <v>Professional Data Scientist (m/w/d)</v>
      </c>
      <c r="D660" s="7" t="str">
        <f>IFERROR(__xludf.DUMMYFUNCTION("""COMPUTED_VALUE"""),"Stuttgart")</f>
        <v>Stuttgart</v>
      </c>
      <c r="E660" s="7" t="str">
        <f>IFERROR(__xludf.DUMMYFUNCTION("""COMPUTED_VALUE"""),"Wüstenrot &amp; Württembergische")</f>
        <v>Wüstenrot &amp; Württembergische</v>
      </c>
      <c r="F660" s="7" t="str">
        <f>IFERROR(__xludf.DUMMYFUNCTION("""COMPUTED_VALUE"""),"None")</f>
        <v>None</v>
      </c>
      <c r="G660" s="7" t="str">
        <f>IFERROR(__xludf.DUMMYFUNCTION("""COMPUTED_VALUE"""),"No salary data")</f>
        <v>No salary data</v>
      </c>
      <c r="H660" s="7" t="str">
        <f>IFERROR(__xludf.DUMMYFUNCTION("""COMPUTED_VALUE"""),"No salary data")</f>
        <v>No salary data</v>
      </c>
      <c r="I660" s="7" t="str">
        <f>IFERROR(__xludf.DUMMYFUNCTION("""COMPUTED_VALUE"""),"No salary data")</f>
        <v>No salary data</v>
      </c>
      <c r="J660" s="7" t="str">
        <f>IFERROR(__xludf.DUMMYFUNCTION("""COMPUTED_VALUE"""),"Git")</f>
        <v>Git</v>
      </c>
      <c r="K660" s="7" t="str">
        <f>IFERROR(__xludf.DUMMYFUNCTION("""COMPUTED_VALUE"""),"No job type data")</f>
        <v>No job type data</v>
      </c>
      <c r="L660" s="7" t="str">
        <f>IFERROR(__xludf.DUMMYFUNCTION("""COMPUTED_VALUE"""),"None")</f>
        <v>None</v>
      </c>
      <c r="M660" s="7"/>
      <c r="N660" s="7"/>
      <c r="O660" s="7"/>
    </row>
    <row r="661">
      <c r="A661" s="29">
        <f>IFERROR(__xludf.DUMMYFUNCTION("""COMPUTED_VALUE"""),657.0)</f>
        <v>657</v>
      </c>
      <c r="B661" s="7" t="str">
        <f>IFERROR(__xludf.DUMMYFUNCTION("""COMPUTED_VALUE"""),"vor 28 Tagen")</f>
        <v>vor 28 Tagen</v>
      </c>
      <c r="C661" s="7" t="str">
        <f>IFERROR(__xludf.DUMMYFUNCTION("""COMPUTED_VALUE"""),"Data Scientist")</f>
        <v>Data Scientist</v>
      </c>
      <c r="D661" s="7" t="str">
        <f>IFERROR(__xludf.DUMMYFUNCTION("""COMPUTED_VALUE"""),"Berlin")</f>
        <v>Berlin</v>
      </c>
      <c r="E661" s="7" t="str">
        <f>IFERROR(__xludf.DUMMYFUNCTION("""COMPUTED_VALUE"""),"Babbel")</f>
        <v>Babbel</v>
      </c>
      <c r="F661" s="7" t="str">
        <f>IFERROR(__xludf.DUMMYFUNCTION("""COMPUTED_VALUE"""),"None")</f>
        <v>None</v>
      </c>
      <c r="G661" s="7" t="str">
        <f>IFERROR(__xludf.DUMMYFUNCTION("""COMPUTED_VALUE"""),"No salary data")</f>
        <v>No salary data</v>
      </c>
      <c r="H661" s="7" t="str">
        <f>IFERROR(__xludf.DUMMYFUNCTION("""COMPUTED_VALUE"""),"No salary data")</f>
        <v>No salary data</v>
      </c>
      <c r="I661" s="7" t="str">
        <f>IFERROR(__xludf.DUMMYFUNCTION("""COMPUTED_VALUE"""),"No salary data")</f>
        <v>No salary data</v>
      </c>
      <c r="J661" s="7" t="str">
        <f>IFERROR(__xludf.DUMMYFUNCTION("""COMPUTED_VALUE"""),"Python, SQL, Machine Learning, Statistic")</f>
        <v>Python, SQL, Machine Learning, Statistic</v>
      </c>
      <c r="K661" s="7" t="str">
        <f>IFERROR(__xludf.DUMMYFUNCTION("""COMPUTED_VALUE"""),"No job type data")</f>
        <v>No job type data</v>
      </c>
      <c r="L661" s="7" t="str">
        <f>IFERROR(__xludf.DUMMYFUNCTION("""COMPUTED_VALUE"""),"None")</f>
        <v>None</v>
      </c>
      <c r="M661" s="7"/>
      <c r="N661" s="7"/>
      <c r="O661" s="7"/>
    </row>
    <row r="662">
      <c r="A662" s="29">
        <f>IFERROR(__xludf.DUMMYFUNCTION("""COMPUTED_VALUE"""),658.0)</f>
        <v>658</v>
      </c>
      <c r="B662" s="7" t="str">
        <f>IFERROR(__xludf.DUMMYFUNCTION("""COMPUTED_VALUE"""),"Vor mehr als 30 Tagen")</f>
        <v>Vor mehr als 30 Tagen</v>
      </c>
      <c r="C662" s="7" t="str">
        <f>IFERROR(__xludf.DUMMYFUNCTION("""COMPUTED_VALUE"""),"Data Engineer (m/w/d)")</f>
        <v>Data Engineer (m/w/d)</v>
      </c>
      <c r="D662" s="7" t="str">
        <f>IFERROR(__xludf.DUMMYFUNCTION("""COMPUTED_VALUE"""),"Stuttgart")</f>
        <v>Stuttgart</v>
      </c>
      <c r="E662" s="7" t="str">
        <f>IFERROR(__xludf.DUMMYFUNCTION("""COMPUTED_VALUE"""),"cellent GmbH")</f>
        <v>cellent GmbH</v>
      </c>
      <c r="F662" s="7" t="str">
        <f>IFERROR(__xludf.DUMMYFUNCTION("""COMPUTED_VALUE"""),"None")</f>
        <v>None</v>
      </c>
      <c r="G662" s="7" t="str">
        <f>IFERROR(__xludf.DUMMYFUNCTION("""COMPUTED_VALUE"""),"No salary data")</f>
        <v>No salary data</v>
      </c>
      <c r="H662" s="7" t="str">
        <f>IFERROR(__xludf.DUMMYFUNCTION("""COMPUTED_VALUE"""),"No salary data")</f>
        <v>No salary data</v>
      </c>
      <c r="I662" s="7" t="str">
        <f>IFERROR(__xludf.DUMMYFUNCTION("""COMPUTED_VALUE"""),"No salary data")</f>
        <v>No salary data</v>
      </c>
      <c r="J662" s="7" t="str">
        <f>IFERROR(__xludf.DUMMYFUNCTION("""COMPUTED_VALUE"""),"Python, SQL, Machine Learning, Agile")</f>
        <v>Python, SQL, Machine Learning, Agile</v>
      </c>
      <c r="K662" s="7" t="str">
        <f>IFERROR(__xludf.DUMMYFUNCTION("""COMPUTED_VALUE"""),"No job type data")</f>
        <v>No job type data</v>
      </c>
      <c r="L662" s="7" t="str">
        <f>IFERROR(__xludf.DUMMYFUNCTION("""COMPUTED_VALUE"""),"None")</f>
        <v>None</v>
      </c>
      <c r="M662" s="7"/>
      <c r="N662" s="7"/>
      <c r="O662" s="7"/>
    </row>
    <row r="663">
      <c r="A663" s="29">
        <f>IFERROR(__xludf.DUMMYFUNCTION("""COMPUTED_VALUE"""),659.0)</f>
        <v>659</v>
      </c>
      <c r="B663" s="7" t="str">
        <f>IFERROR(__xludf.DUMMYFUNCTION("""COMPUTED_VALUE"""),"Vor mehr als 30 Tagen")</f>
        <v>Vor mehr als 30 Tagen</v>
      </c>
      <c r="C663" s="7" t="str">
        <f>IFERROR(__xludf.DUMMYFUNCTION("""COMPUTED_VALUE"""),"Junior Consultant BI, Big Data, IoT (m/w/d)")</f>
        <v>Junior Consultant BI, Big Data, IoT (m/w/d)</v>
      </c>
      <c r="D663" s="7" t="str">
        <f>IFERROR(__xludf.DUMMYFUNCTION("""COMPUTED_VALUE"""),"Köln")</f>
        <v>Köln</v>
      </c>
      <c r="E663" s="7" t="str">
        <f>IFERROR(__xludf.DUMMYFUNCTION("""COMPUTED_VALUE"""),"msg systems")</f>
        <v>msg systems</v>
      </c>
      <c r="F663" s="7" t="str">
        <f>IFERROR(__xludf.DUMMYFUNCTION("""COMPUTED_VALUE"""),"None")</f>
        <v>None</v>
      </c>
      <c r="G663" s="7" t="str">
        <f>IFERROR(__xludf.DUMMYFUNCTION("""COMPUTED_VALUE"""),"No salary data")</f>
        <v>No salary data</v>
      </c>
      <c r="H663" s="7" t="str">
        <f>IFERROR(__xludf.DUMMYFUNCTION("""COMPUTED_VALUE"""),"No salary data")</f>
        <v>No salary data</v>
      </c>
      <c r="I663" s="7" t="str">
        <f>IFERROR(__xludf.DUMMYFUNCTION("""COMPUTED_VALUE"""),"No salary data")</f>
        <v>No salary data</v>
      </c>
      <c r="J663" s="7"/>
      <c r="K663" s="7" t="str">
        <f>IFERROR(__xludf.DUMMYFUNCTION("""COMPUTED_VALUE"""),"No job type data")</f>
        <v>No job type data</v>
      </c>
      <c r="L663" s="7" t="str">
        <f>IFERROR(__xludf.DUMMYFUNCTION("""COMPUTED_VALUE"""),"4,6")</f>
        <v>4,6</v>
      </c>
      <c r="M663" s="7"/>
      <c r="N663" s="7"/>
      <c r="O663" s="7"/>
    </row>
    <row r="664">
      <c r="A664" s="29">
        <f>IFERROR(__xludf.DUMMYFUNCTION("""COMPUTED_VALUE"""),660.0)</f>
        <v>660</v>
      </c>
      <c r="B664" s="7" t="str">
        <f>IFERROR(__xludf.DUMMYFUNCTION("""COMPUTED_VALUE"""),"vor 25 Tagen")</f>
        <v>vor 25 Tagen</v>
      </c>
      <c r="C664" s="7" t="str">
        <f>IFERROR(__xludf.DUMMYFUNCTION("""COMPUTED_VALUE"""),"Machine Learning Engineer / Data Engineer*")</f>
        <v>Machine Learning Engineer / Data Engineer*</v>
      </c>
      <c r="D664" s="7" t="str">
        <f>IFERROR(__xludf.DUMMYFUNCTION("""COMPUTED_VALUE"""),"Hamburg")</f>
        <v>Hamburg</v>
      </c>
      <c r="E664" s="7" t="str">
        <f>IFERROR(__xludf.DUMMYFUNCTION("""COMPUTED_VALUE"""),"inovex")</f>
        <v>inovex</v>
      </c>
      <c r="F664" s="7" t="str">
        <f>IFERROR(__xludf.DUMMYFUNCTION("""COMPUTED_VALUE"""),"None")</f>
        <v>None</v>
      </c>
      <c r="G664" s="7" t="str">
        <f>IFERROR(__xludf.DUMMYFUNCTION("""COMPUTED_VALUE"""),"No salary data")</f>
        <v>No salary data</v>
      </c>
      <c r="H664" s="7" t="str">
        <f>IFERROR(__xludf.DUMMYFUNCTION("""COMPUTED_VALUE"""),"No salary data")</f>
        <v>No salary data</v>
      </c>
      <c r="I664" s="7" t="str">
        <f>IFERROR(__xludf.DUMMYFUNCTION("""COMPUTED_VALUE"""),"No salary data")</f>
        <v>No salary data</v>
      </c>
      <c r="J664" s="7" t="str">
        <f>IFERROR(__xludf.DUMMYFUNCTION("""COMPUTED_VALUE"""),"Python, SQL, Machine Learning, Git, Linux, Agile")</f>
        <v>Python, SQL, Machine Learning, Git, Linux, Agile</v>
      </c>
      <c r="K664" s="7" t="str">
        <f>IFERROR(__xludf.DUMMYFUNCTION("""COMPUTED_VALUE"""),"No job type data")</f>
        <v>No job type data</v>
      </c>
      <c r="L664" s="7" t="str">
        <f>IFERROR(__xludf.DUMMYFUNCTION("""COMPUTED_VALUE"""),"None")</f>
        <v>None</v>
      </c>
      <c r="M664" s="7"/>
      <c r="N664" s="7"/>
      <c r="O664" s="7"/>
    </row>
    <row r="665">
      <c r="A665" s="29">
        <f>IFERROR(__xludf.DUMMYFUNCTION("""COMPUTED_VALUE"""),661.0)</f>
        <v>661</v>
      </c>
      <c r="B665" s="7" t="str">
        <f>IFERROR(__xludf.DUMMYFUNCTION("""COMPUTED_VALUE"""),"vor 28 Tagen")</f>
        <v>vor 28 Tagen</v>
      </c>
      <c r="C665" s="7" t="str">
        <f>IFERROR(__xludf.DUMMYFUNCTION("""COMPUTED_VALUE"""),"IT Operations Specialist (m/w/d) - Data Analytics")</f>
        <v>IT Operations Specialist (m/w/d) - Data Analytics</v>
      </c>
      <c r="D665" s="7" t="str">
        <f>IFERROR(__xludf.DUMMYFUNCTION("""COMPUTED_VALUE"""),"Berlin")</f>
        <v>Berlin</v>
      </c>
      <c r="E665" s="7" t="str">
        <f>IFERROR(__xludf.DUMMYFUNCTION("""COMPUTED_VALUE"""),"KWS Group")</f>
        <v>KWS Group</v>
      </c>
      <c r="F665" s="7" t="str">
        <f>IFERROR(__xludf.DUMMYFUNCTION("""COMPUTED_VALUE"""),"None")</f>
        <v>None</v>
      </c>
      <c r="G665" s="7" t="str">
        <f>IFERROR(__xludf.DUMMYFUNCTION("""COMPUTED_VALUE"""),"No salary data")</f>
        <v>No salary data</v>
      </c>
      <c r="H665" s="7" t="str">
        <f>IFERROR(__xludf.DUMMYFUNCTION("""COMPUTED_VALUE"""),"No salary data")</f>
        <v>No salary data</v>
      </c>
      <c r="I665" s="7" t="str">
        <f>IFERROR(__xludf.DUMMYFUNCTION("""COMPUTED_VALUE"""),"No salary data")</f>
        <v>No salary data</v>
      </c>
      <c r="J665" s="7" t="str">
        <f>IFERROR(__xludf.DUMMYFUNCTION("""COMPUTED_VALUE"""),"Python, SQL, Excel")</f>
        <v>Python, SQL, Excel</v>
      </c>
      <c r="K665" s="7" t="str">
        <f>IFERROR(__xludf.DUMMYFUNCTION("""COMPUTED_VALUE"""),"No job type data")</f>
        <v>No job type data</v>
      </c>
      <c r="L665" s="7" t="str">
        <f>IFERROR(__xludf.DUMMYFUNCTION("""COMPUTED_VALUE"""),"3,6")</f>
        <v>3,6</v>
      </c>
      <c r="M665" s="7"/>
      <c r="N665" s="7"/>
      <c r="O665" s="7"/>
    </row>
    <row r="666">
      <c r="A666" s="29">
        <f>IFERROR(__xludf.DUMMYFUNCTION("""COMPUTED_VALUE"""),662.0)</f>
        <v>662</v>
      </c>
      <c r="B666" s="7" t="str">
        <f>IFERROR(__xludf.DUMMYFUNCTION("""COMPUTED_VALUE"""),"Vor mehr als 30 Tagen")</f>
        <v>Vor mehr als 30 Tagen</v>
      </c>
      <c r="C666" s="7" t="str">
        <f>IFERROR(__xludf.DUMMYFUNCTION("""COMPUTED_VALUE"""),"Junior Consultant IT Data Quality Management (w/m/d)")</f>
        <v>Junior Consultant IT Data Quality Management (w/m/d)</v>
      </c>
      <c r="D666" s="7" t="str">
        <f>IFERROR(__xludf.DUMMYFUNCTION("""COMPUTED_VALUE"""),"Neckarsulm")</f>
        <v>Neckarsulm</v>
      </c>
      <c r="E666" s="7" t="str">
        <f>IFERROR(__xludf.DUMMYFUNCTION("""COMPUTED_VALUE"""),"Schwarz Dienstleistungen")</f>
        <v>Schwarz Dienstleistungen</v>
      </c>
      <c r="F666" s="7" t="str">
        <f>IFERROR(__xludf.DUMMYFUNCTION("""COMPUTED_VALUE"""),"None")</f>
        <v>None</v>
      </c>
      <c r="G666" s="7" t="str">
        <f>IFERROR(__xludf.DUMMYFUNCTION("""COMPUTED_VALUE"""),"No salary data")</f>
        <v>No salary data</v>
      </c>
      <c r="H666" s="7" t="str">
        <f>IFERROR(__xludf.DUMMYFUNCTION("""COMPUTED_VALUE"""),"No salary data")</f>
        <v>No salary data</v>
      </c>
      <c r="I666" s="7" t="str">
        <f>IFERROR(__xludf.DUMMYFUNCTION("""COMPUTED_VALUE"""),"No salary data")</f>
        <v>No salary data</v>
      </c>
      <c r="J666" s="7"/>
      <c r="K666" s="7" t="str">
        <f>IFERROR(__xludf.DUMMYFUNCTION("""COMPUTED_VALUE"""),"No job type data")</f>
        <v>No job type data</v>
      </c>
      <c r="L666" s="7" t="str">
        <f>IFERROR(__xludf.DUMMYFUNCTION("""COMPUTED_VALUE"""),"3,5")</f>
        <v>3,5</v>
      </c>
      <c r="M666" s="7"/>
      <c r="N666" s="7"/>
      <c r="O666" s="7"/>
    </row>
    <row r="667">
      <c r="A667" s="29">
        <f>IFERROR(__xludf.DUMMYFUNCTION("""COMPUTED_VALUE"""),663.0)</f>
        <v>663</v>
      </c>
      <c r="B667" s="7" t="str">
        <f>IFERROR(__xludf.DUMMYFUNCTION("""COMPUTED_VALUE"""),"Vor mehr als 30 Tagen")</f>
        <v>Vor mehr als 30 Tagen</v>
      </c>
      <c r="C667" s="7" t="str">
        <f>IFERROR(__xludf.DUMMYFUNCTION("""COMPUTED_VALUE"""),"Freelance Data Analysis Mentors/Tutors (f/m/d)")</f>
        <v>Freelance Data Analysis Mentors/Tutors (f/m/d)</v>
      </c>
      <c r="D667" s="7" t="str">
        <f>IFERROR(__xludf.DUMMYFUNCTION("""COMPUTED_VALUE"""),"Deutschland")</f>
        <v>Deutschland</v>
      </c>
      <c r="E667" s="7" t="str">
        <f>IFERROR(__xludf.DUMMYFUNCTION("""COMPUTED_VALUE"""),"CareerFoundry GmbH")</f>
        <v>CareerFoundry GmbH</v>
      </c>
      <c r="F667" s="7" t="str">
        <f>IFERROR(__xludf.DUMMYFUNCTION("""COMPUTED_VALUE"""),"None")</f>
        <v>None</v>
      </c>
      <c r="G667" s="7" t="str">
        <f>IFERROR(__xludf.DUMMYFUNCTION("""COMPUTED_VALUE"""),"No salary data")</f>
        <v>No salary data</v>
      </c>
      <c r="H667" s="7" t="str">
        <f>IFERROR(__xludf.DUMMYFUNCTION("""COMPUTED_VALUE"""),"No salary data")</f>
        <v>No salary data</v>
      </c>
      <c r="I667" s="7" t="str">
        <f>IFERROR(__xludf.DUMMYFUNCTION("""COMPUTED_VALUE"""),"No salary data")</f>
        <v>No salary data</v>
      </c>
      <c r="J667" s="7" t="str">
        <f>IFERROR(__xludf.DUMMYFUNCTION("""COMPUTED_VALUE"""),"Python, SQL, Tableau, Excel, Statistic")</f>
        <v>Python, SQL, Tableau, Excel, Statistic</v>
      </c>
      <c r="K667" s="7" t="str">
        <f>IFERROR(__xludf.DUMMYFUNCTION("""COMPUTED_VALUE"""),"Contract")</f>
        <v>Contract</v>
      </c>
      <c r="L667" s="7" t="str">
        <f>IFERROR(__xludf.DUMMYFUNCTION("""COMPUTED_VALUE"""),"None")</f>
        <v>None</v>
      </c>
      <c r="M667" s="7"/>
      <c r="N667" s="7"/>
      <c r="O667" s="7"/>
    </row>
    <row r="668">
      <c r="A668" s="29">
        <f>IFERROR(__xludf.DUMMYFUNCTION("""COMPUTED_VALUE"""),664.0)</f>
        <v>664</v>
      </c>
      <c r="B668" s="7" t="str">
        <f>IFERROR(__xludf.DUMMYFUNCTION("""COMPUTED_VALUE"""),"Vor mehr als 30 Tagen")</f>
        <v>Vor mehr als 30 Tagen</v>
      </c>
      <c r="C668" s="7" t="str">
        <f>IFERROR(__xludf.DUMMYFUNCTION("""COMPUTED_VALUE"""),"Data Engineer (m/f/d)")</f>
        <v>Data Engineer (m/f/d)</v>
      </c>
      <c r="D668" s="7" t="str">
        <f>IFERROR(__xludf.DUMMYFUNCTION("""COMPUTED_VALUE"""),"Penzberg")</f>
        <v>Penzberg</v>
      </c>
      <c r="E668" s="7" t="str">
        <f>IFERROR(__xludf.DUMMYFUNCTION("""COMPUTED_VALUE"""),"Hays")</f>
        <v>Hays</v>
      </c>
      <c r="F668" s="7" t="str">
        <f>IFERROR(__xludf.DUMMYFUNCTION("""COMPUTED_VALUE"""),"None")</f>
        <v>None</v>
      </c>
      <c r="G668" s="7" t="str">
        <f>IFERROR(__xludf.DUMMYFUNCTION("""COMPUTED_VALUE"""),"No salary data")</f>
        <v>No salary data</v>
      </c>
      <c r="H668" s="7" t="str">
        <f>IFERROR(__xludf.DUMMYFUNCTION("""COMPUTED_VALUE"""),"No salary data")</f>
        <v>No salary data</v>
      </c>
      <c r="I668" s="7" t="str">
        <f>IFERROR(__xludf.DUMMYFUNCTION("""COMPUTED_VALUE"""),"No salary data")</f>
        <v>No salary data</v>
      </c>
      <c r="J668" s="7" t="str">
        <f>IFERROR(__xludf.DUMMYFUNCTION("""COMPUTED_VALUE"""),"Python, SQL")</f>
        <v>Python, SQL</v>
      </c>
      <c r="K668" s="7" t="str">
        <f>IFERROR(__xludf.DUMMYFUNCTION("""COMPUTED_VALUE"""),"No job type data")</f>
        <v>No job type data</v>
      </c>
      <c r="L668" s="7" t="str">
        <f>IFERROR(__xludf.DUMMYFUNCTION("""COMPUTED_VALUE"""),"3,6")</f>
        <v>3,6</v>
      </c>
      <c r="M668" s="7"/>
      <c r="N668" s="7"/>
      <c r="O668" s="7"/>
    </row>
    <row r="669">
      <c r="A669" s="29">
        <f>IFERROR(__xludf.DUMMYFUNCTION("""COMPUTED_VALUE"""),665.0)</f>
        <v>665</v>
      </c>
      <c r="B669" s="7" t="str">
        <f>IFERROR(__xludf.DUMMYFUNCTION("""COMPUTED_VALUE"""),"Vor mehr als 30 Tagen")</f>
        <v>Vor mehr als 30 Tagen</v>
      </c>
      <c r="C669" s="7" t="str">
        <f>IFERROR(__xludf.DUMMYFUNCTION("""COMPUTED_VALUE"""),"Big Data Developer / Architect")</f>
        <v>Big Data Developer / Architect</v>
      </c>
      <c r="D669" s="7" t="str">
        <f>IFERROR(__xludf.DUMMYFUNCTION("""COMPUTED_VALUE"""),"München")</f>
        <v>München</v>
      </c>
      <c r="E669" s="7" t="str">
        <f>IFERROR(__xludf.DUMMYFUNCTION("""COMPUTED_VALUE"""),"Data Reply GmbH")</f>
        <v>Data Reply GmbH</v>
      </c>
      <c r="F669" s="7" t="str">
        <f>IFERROR(__xludf.DUMMYFUNCTION("""COMPUTED_VALUE"""),"None")</f>
        <v>None</v>
      </c>
      <c r="G669" s="7" t="str">
        <f>IFERROR(__xludf.DUMMYFUNCTION("""COMPUTED_VALUE"""),"No salary data")</f>
        <v>No salary data</v>
      </c>
      <c r="H669" s="7" t="str">
        <f>IFERROR(__xludf.DUMMYFUNCTION("""COMPUTED_VALUE"""),"No salary data")</f>
        <v>No salary data</v>
      </c>
      <c r="I669" s="7" t="str">
        <f>IFERROR(__xludf.DUMMYFUNCTION("""COMPUTED_VALUE"""),"No salary data")</f>
        <v>No salary data</v>
      </c>
      <c r="J669" s="7" t="str">
        <f>IFERROR(__xludf.DUMMYFUNCTION("""COMPUTED_VALUE"""),"Python, Git, Agile")</f>
        <v>Python, Git, Agile</v>
      </c>
      <c r="K669" s="7" t="str">
        <f>IFERROR(__xludf.DUMMYFUNCTION("""COMPUTED_VALUE"""),"No job type data")</f>
        <v>No job type data</v>
      </c>
      <c r="L669" s="7" t="str">
        <f>IFERROR(__xludf.DUMMYFUNCTION("""COMPUTED_VALUE"""),"None")</f>
        <v>None</v>
      </c>
      <c r="M669" s="7"/>
      <c r="N669" s="7"/>
      <c r="O669" s="7"/>
    </row>
    <row r="670">
      <c r="A670" s="29">
        <f>IFERROR(__xludf.DUMMYFUNCTION("""COMPUTED_VALUE"""),666.0)</f>
        <v>666</v>
      </c>
      <c r="B670" s="7" t="str">
        <f>IFERROR(__xludf.DUMMYFUNCTION("""COMPUTED_VALUE"""),"vor 27 Tagen")</f>
        <v>vor 27 Tagen</v>
      </c>
      <c r="C670" s="7" t="str">
        <f>IFERROR(__xludf.DUMMYFUNCTION("""COMPUTED_VALUE"""),"Data Engineer (f/m/d)")</f>
        <v>Data Engineer (f/m/d)</v>
      </c>
      <c r="D670" s="7" t="str">
        <f>IFERROR(__xludf.DUMMYFUNCTION("""COMPUTED_VALUE"""),"Berlin-Kreuzberg")</f>
        <v>Berlin-Kreuzberg</v>
      </c>
      <c r="E670" s="7" t="str">
        <f>IFERROR(__xludf.DUMMYFUNCTION("""COMPUTED_VALUE"""),"The Jodel Venture")</f>
        <v>The Jodel Venture</v>
      </c>
      <c r="F670" s="7" t="str">
        <f>IFERROR(__xludf.DUMMYFUNCTION("""COMPUTED_VALUE"""),"None")</f>
        <v>None</v>
      </c>
      <c r="G670" s="7" t="str">
        <f>IFERROR(__xludf.DUMMYFUNCTION("""COMPUTED_VALUE"""),"No salary data")</f>
        <v>No salary data</v>
      </c>
      <c r="H670" s="7" t="str">
        <f>IFERROR(__xludf.DUMMYFUNCTION("""COMPUTED_VALUE"""),"No salary data")</f>
        <v>No salary data</v>
      </c>
      <c r="I670" s="7" t="str">
        <f>IFERROR(__xludf.DUMMYFUNCTION("""COMPUTED_VALUE"""),"No salary data")</f>
        <v>No salary data</v>
      </c>
      <c r="J670" s="7" t="str">
        <f>IFERROR(__xludf.DUMMYFUNCTION("""COMPUTED_VALUE"""),"Python, Machine Learning")</f>
        <v>Python, Machine Learning</v>
      </c>
      <c r="K670" s="7" t="str">
        <f>IFERROR(__xludf.DUMMYFUNCTION("""COMPUTED_VALUE"""),"No job type data")</f>
        <v>No job type data</v>
      </c>
      <c r="L670" s="7" t="str">
        <f>IFERROR(__xludf.DUMMYFUNCTION("""COMPUTED_VALUE"""),"None")</f>
        <v>None</v>
      </c>
      <c r="M670" s="7"/>
      <c r="N670" s="7"/>
      <c r="O670" s="7"/>
    </row>
    <row r="671">
      <c r="A671" s="29">
        <f>IFERROR(__xludf.DUMMYFUNCTION("""COMPUTED_VALUE"""),667.0)</f>
        <v>667</v>
      </c>
      <c r="B671" s="7" t="str">
        <f>IFERROR(__xludf.DUMMYFUNCTION("""COMPUTED_VALUE"""),"vor 17 Tagen")</f>
        <v>vor 17 Tagen</v>
      </c>
      <c r="C671" s="7" t="str">
        <f>IFERROR(__xludf.DUMMYFUNCTION("""COMPUTED_VALUE"""),"Praktikant (m/w/d) für 6 Monate im Bereich Business Intellig...")</f>
        <v>Praktikant (m/w/d) für 6 Monate im Bereich Business Intellig...</v>
      </c>
      <c r="D671" s="7" t="str">
        <f>IFERROR(__xludf.DUMMYFUNCTION("""COMPUTED_VALUE"""),"München")</f>
        <v>München</v>
      </c>
      <c r="E671" s="7" t="str">
        <f>IFERROR(__xludf.DUMMYFUNCTION("""COMPUTED_VALUE"""),"Allianz Private Krankenversicherungs-AG")</f>
        <v>Allianz Private Krankenversicherungs-AG</v>
      </c>
      <c r="F671" s="7" t="str">
        <f>IFERROR(__xludf.DUMMYFUNCTION("""COMPUTED_VALUE"""),"None")</f>
        <v>None</v>
      </c>
      <c r="G671" s="7" t="str">
        <f>IFERROR(__xludf.DUMMYFUNCTION("""COMPUTED_VALUE"""),"No salary data")</f>
        <v>No salary data</v>
      </c>
      <c r="H671" s="7" t="str">
        <f>IFERROR(__xludf.DUMMYFUNCTION("""COMPUTED_VALUE"""),"No salary data")</f>
        <v>No salary data</v>
      </c>
      <c r="I671" s="7" t="str">
        <f>IFERROR(__xludf.DUMMYFUNCTION("""COMPUTED_VALUE"""),"No salary data")</f>
        <v>No salary data</v>
      </c>
      <c r="J671" s="7" t="str">
        <f>IFERROR(__xludf.DUMMYFUNCTION("""COMPUTED_VALUE"""),"SQL, Excel, Git")</f>
        <v>SQL, Excel, Git</v>
      </c>
      <c r="K671" s="7" t="str">
        <f>IFERROR(__xludf.DUMMYFUNCTION("""COMPUTED_VALUE"""),"No job type data")</f>
        <v>No job type data</v>
      </c>
      <c r="L671" s="7" t="str">
        <f>IFERROR(__xludf.DUMMYFUNCTION("""COMPUTED_VALUE"""),"3,9")</f>
        <v>3,9</v>
      </c>
      <c r="M671" s="7"/>
      <c r="N671" s="7"/>
      <c r="O671" s="7"/>
    </row>
    <row r="672">
      <c r="A672" s="29">
        <f>IFERROR(__xludf.DUMMYFUNCTION("""COMPUTED_VALUE"""),668.0)</f>
        <v>668</v>
      </c>
      <c r="B672" s="7" t="str">
        <f>IFERROR(__xludf.DUMMYFUNCTION("""COMPUTED_VALUE"""),"Vor mehr als 30 Tagen")</f>
        <v>Vor mehr als 30 Tagen</v>
      </c>
      <c r="C672" s="7" t="str">
        <f>IFERROR(__xludf.DUMMYFUNCTION("""COMPUTED_VALUE"""),"Data Engineer (m/w/d)")</f>
        <v>Data Engineer (m/w/d)</v>
      </c>
      <c r="D672" s="7" t="str">
        <f>IFERROR(__xludf.DUMMYFUNCTION("""COMPUTED_VALUE"""),"Köln")</f>
        <v>Köln</v>
      </c>
      <c r="E672" s="7" t="str">
        <f>IFERROR(__xludf.DUMMYFUNCTION("""COMPUTED_VALUE"""),"Gothaer")</f>
        <v>Gothaer</v>
      </c>
      <c r="F672" s="7" t="str">
        <f>IFERROR(__xludf.DUMMYFUNCTION("""COMPUTED_VALUE"""),"None")</f>
        <v>None</v>
      </c>
      <c r="G672" s="7" t="str">
        <f>IFERROR(__xludf.DUMMYFUNCTION("""COMPUTED_VALUE"""),"No salary data")</f>
        <v>No salary data</v>
      </c>
      <c r="H672" s="7" t="str">
        <f>IFERROR(__xludf.DUMMYFUNCTION("""COMPUTED_VALUE"""),"No salary data")</f>
        <v>No salary data</v>
      </c>
      <c r="I672" s="7" t="str">
        <f>IFERROR(__xludf.DUMMYFUNCTION("""COMPUTED_VALUE"""),"No salary data")</f>
        <v>No salary data</v>
      </c>
      <c r="J672" s="7" t="str">
        <f>IFERROR(__xludf.DUMMYFUNCTION("""COMPUTED_VALUE"""),"SQL")</f>
        <v>SQL</v>
      </c>
      <c r="K672" s="7" t="str">
        <f>IFERROR(__xludf.DUMMYFUNCTION("""COMPUTED_VALUE"""),"No job type data")</f>
        <v>No job type data</v>
      </c>
      <c r="L672" s="7" t="str">
        <f>IFERROR(__xludf.DUMMYFUNCTION("""COMPUTED_VALUE"""),"3,9")</f>
        <v>3,9</v>
      </c>
      <c r="M672" s="7"/>
      <c r="N672" s="7"/>
      <c r="O672" s="7"/>
    </row>
    <row r="673">
      <c r="A673" s="29">
        <f>IFERROR(__xludf.DUMMYFUNCTION("""COMPUTED_VALUE"""),669.0)</f>
        <v>669</v>
      </c>
      <c r="B673" s="7" t="str">
        <f>IFERROR(__xludf.DUMMYFUNCTION("""COMPUTED_VALUE"""),"vor 5 Tagen")</f>
        <v>vor 5 Tagen</v>
      </c>
      <c r="C673" s="7" t="str">
        <f>IFERROR(__xludf.DUMMYFUNCTION("""COMPUTED_VALUE"""),"Mitarbeiter Data Mining/Data Science (m/w/d)")</f>
        <v>Mitarbeiter Data Mining/Data Science (m/w/d)</v>
      </c>
      <c r="D673" s="7" t="str">
        <f>IFERROR(__xludf.DUMMYFUNCTION("""COMPUTED_VALUE"""),"Stuttgart")</f>
        <v>Stuttgart</v>
      </c>
      <c r="E673" s="7" t="str">
        <f>IFERROR(__xludf.DUMMYFUNCTION("""COMPUTED_VALUE"""),"AOK Baden-Württemberg")</f>
        <v>AOK Baden-Württemberg</v>
      </c>
      <c r="F673" s="7" t="str">
        <f>IFERROR(__xludf.DUMMYFUNCTION("""COMPUTED_VALUE"""),"None")</f>
        <v>None</v>
      </c>
      <c r="G673" s="7" t="str">
        <f>IFERROR(__xludf.DUMMYFUNCTION("""COMPUTED_VALUE"""),"No salary data")</f>
        <v>No salary data</v>
      </c>
      <c r="H673" s="7" t="str">
        <f>IFERROR(__xludf.DUMMYFUNCTION("""COMPUTED_VALUE"""),"No salary data")</f>
        <v>No salary data</v>
      </c>
      <c r="I673" s="7" t="str">
        <f>IFERROR(__xludf.DUMMYFUNCTION("""COMPUTED_VALUE"""),"No salary data")</f>
        <v>No salary data</v>
      </c>
      <c r="J673" s="7" t="str">
        <f>IFERROR(__xludf.DUMMYFUNCTION("""COMPUTED_VALUE"""),"Python, Tableau, Machine Learning, Deep Learning, Agile")</f>
        <v>Python, Tableau, Machine Learning, Deep Learning, Agile</v>
      </c>
      <c r="K673" s="7" t="str">
        <f>IFERROR(__xludf.DUMMYFUNCTION("""COMPUTED_VALUE"""),"No job type data")</f>
        <v>No job type data</v>
      </c>
      <c r="L673" s="7" t="str">
        <f>IFERROR(__xludf.DUMMYFUNCTION("""COMPUTED_VALUE"""),"None")</f>
        <v>None</v>
      </c>
      <c r="M673" s="7"/>
      <c r="N673" s="7"/>
      <c r="O673" s="7"/>
    </row>
    <row r="674">
      <c r="A674" s="29">
        <f>IFERROR(__xludf.DUMMYFUNCTION("""COMPUTED_VALUE"""),670.0)</f>
        <v>670</v>
      </c>
      <c r="B674" s="7" t="str">
        <f>IFERROR(__xludf.DUMMYFUNCTION("""COMPUTED_VALUE"""),"Vor mehr als 30 Tagen")</f>
        <v>Vor mehr als 30 Tagen</v>
      </c>
      <c r="C674" s="7" t="str">
        <f>IFERROR(__xludf.DUMMYFUNCTION("""COMPUTED_VALUE"""),"Data Engineer Clinical Operations CTM Support (all genders)")</f>
        <v>Data Engineer Clinical Operations CTM Support (all genders)</v>
      </c>
      <c r="D674" s="7" t="str">
        <f>IFERROR(__xludf.DUMMYFUNCTION("""COMPUTED_VALUE"""),"Darmstadt")</f>
        <v>Darmstadt</v>
      </c>
      <c r="E674" s="7" t="str">
        <f>IFERROR(__xludf.DUMMYFUNCTION("""COMPUTED_VALUE"""),"Merck KGaA")</f>
        <v>Merck KGaA</v>
      </c>
      <c r="F674" s="7" t="str">
        <f>IFERROR(__xludf.DUMMYFUNCTION("""COMPUTED_VALUE"""),"None")</f>
        <v>None</v>
      </c>
      <c r="G674" s="7" t="str">
        <f>IFERROR(__xludf.DUMMYFUNCTION("""COMPUTED_VALUE"""),"No salary data")</f>
        <v>No salary data</v>
      </c>
      <c r="H674" s="7" t="str">
        <f>IFERROR(__xludf.DUMMYFUNCTION("""COMPUTED_VALUE"""),"No salary data")</f>
        <v>No salary data</v>
      </c>
      <c r="I674" s="7" t="str">
        <f>IFERROR(__xludf.DUMMYFUNCTION("""COMPUTED_VALUE"""),"No salary data")</f>
        <v>No salary data</v>
      </c>
      <c r="J674" s="7" t="str">
        <f>IFERROR(__xludf.DUMMYFUNCTION("""COMPUTED_VALUE"""),"SQL, Excel, Git")</f>
        <v>SQL, Excel, Git</v>
      </c>
      <c r="K674" s="7" t="str">
        <f>IFERROR(__xludf.DUMMYFUNCTION("""COMPUTED_VALUE"""),"Full-Time")</f>
        <v>Full-Time</v>
      </c>
      <c r="L674" s="7" t="str">
        <f>IFERROR(__xludf.DUMMYFUNCTION("""COMPUTED_VALUE"""),"4,1")</f>
        <v>4,1</v>
      </c>
      <c r="M674" s="7"/>
      <c r="N674" s="7"/>
      <c r="O674" s="7"/>
    </row>
    <row r="675">
      <c r="A675" s="29">
        <f>IFERROR(__xludf.DUMMYFUNCTION("""COMPUTED_VALUE"""),671.0)</f>
        <v>671</v>
      </c>
      <c r="B675" s="7" t="str">
        <f>IFERROR(__xludf.DUMMYFUNCTION("""COMPUTED_VALUE"""),"Vor mehr als 30 Tagen")</f>
        <v>Vor mehr als 30 Tagen</v>
      </c>
      <c r="C675" s="7" t="str">
        <f>IFERROR(__xludf.DUMMYFUNCTION("""COMPUTED_VALUE"""),"Copernicus data processing engineer")</f>
        <v>Copernicus data processing engineer</v>
      </c>
      <c r="D675" s="7" t="str">
        <f>IFERROR(__xludf.DUMMYFUNCTION("""COMPUTED_VALUE"""),"Darmstadt")</f>
        <v>Darmstadt</v>
      </c>
      <c r="E675" s="7" t="str">
        <f>IFERROR(__xludf.DUMMYFUNCTION("""COMPUTED_VALUE"""),"GMV")</f>
        <v>GMV</v>
      </c>
      <c r="F675" s="7" t="str">
        <f>IFERROR(__xludf.DUMMYFUNCTION("""COMPUTED_VALUE"""),"None")</f>
        <v>None</v>
      </c>
      <c r="G675" s="7" t="str">
        <f>IFERROR(__xludf.DUMMYFUNCTION("""COMPUTED_VALUE"""),"No salary data")</f>
        <v>No salary data</v>
      </c>
      <c r="H675" s="7" t="str">
        <f>IFERROR(__xludf.DUMMYFUNCTION("""COMPUTED_VALUE"""),"No salary data")</f>
        <v>No salary data</v>
      </c>
      <c r="I675" s="7" t="str">
        <f>IFERROR(__xludf.DUMMYFUNCTION("""COMPUTED_VALUE"""),"No salary data")</f>
        <v>No salary data</v>
      </c>
      <c r="J675" s="7" t="str">
        <f>IFERROR(__xludf.DUMMYFUNCTION("""COMPUTED_VALUE"""),"Git")</f>
        <v>Git</v>
      </c>
      <c r="K675" s="7" t="str">
        <f>IFERROR(__xludf.DUMMYFUNCTION("""COMPUTED_VALUE"""),"No job type data")</f>
        <v>No job type data</v>
      </c>
      <c r="L675" s="7" t="str">
        <f>IFERROR(__xludf.DUMMYFUNCTION("""COMPUTED_VALUE"""),"None")</f>
        <v>None</v>
      </c>
      <c r="M675" s="7"/>
      <c r="N675" s="7"/>
      <c r="O675" s="7"/>
    </row>
    <row r="676">
      <c r="A676" s="29">
        <f>IFERROR(__xludf.DUMMYFUNCTION("""COMPUTED_VALUE"""),672.0)</f>
        <v>672</v>
      </c>
      <c r="B676" s="7" t="str">
        <f>IFERROR(__xludf.DUMMYFUNCTION("""COMPUTED_VALUE"""),"vor 12 Tagen")</f>
        <v>vor 12 Tagen</v>
      </c>
      <c r="C676" s="7" t="str">
        <f>IFERROR(__xludf.DUMMYFUNCTION("""COMPUTED_VALUE"""),"Master Data Specialist (m/w/d)")</f>
        <v>Master Data Specialist (m/w/d)</v>
      </c>
      <c r="D676" s="7" t="str">
        <f>IFERROR(__xludf.DUMMYFUNCTION("""COMPUTED_VALUE"""),"Ober-Ramstadt")</f>
        <v>Ober-Ramstadt</v>
      </c>
      <c r="E676" s="7" t="str">
        <f>IFERROR(__xludf.DUMMYFUNCTION("""COMPUTED_VALUE"""),"DAW")</f>
        <v>DAW</v>
      </c>
      <c r="F676" s="7" t="str">
        <f>IFERROR(__xludf.DUMMYFUNCTION("""COMPUTED_VALUE"""),"None")</f>
        <v>None</v>
      </c>
      <c r="G676" s="7" t="str">
        <f>IFERROR(__xludf.DUMMYFUNCTION("""COMPUTED_VALUE"""),"No salary data")</f>
        <v>No salary data</v>
      </c>
      <c r="H676" s="7" t="str">
        <f>IFERROR(__xludf.DUMMYFUNCTION("""COMPUTED_VALUE"""),"No salary data")</f>
        <v>No salary data</v>
      </c>
      <c r="I676" s="7" t="str">
        <f>IFERROR(__xludf.DUMMYFUNCTION("""COMPUTED_VALUE"""),"No salary data")</f>
        <v>No salary data</v>
      </c>
      <c r="J676" s="7" t="str">
        <f>IFERROR(__xludf.DUMMYFUNCTION("""COMPUTED_VALUE"""),"Excel")</f>
        <v>Excel</v>
      </c>
      <c r="K676" s="7" t="str">
        <f>IFERROR(__xludf.DUMMYFUNCTION("""COMPUTED_VALUE"""),"No job type data")</f>
        <v>No job type data</v>
      </c>
      <c r="L676" s="7" t="str">
        <f>IFERROR(__xludf.DUMMYFUNCTION("""COMPUTED_VALUE"""),"None")</f>
        <v>None</v>
      </c>
      <c r="M676" s="7"/>
      <c r="N676" s="7"/>
      <c r="O676" s="7"/>
    </row>
    <row r="677">
      <c r="A677" s="29">
        <f>IFERROR(__xludf.DUMMYFUNCTION("""COMPUTED_VALUE"""),673.0)</f>
        <v>673</v>
      </c>
      <c r="B677" s="7" t="str">
        <f>IFERROR(__xludf.DUMMYFUNCTION("""COMPUTED_VALUE"""),"Vor mehr als 30 Tagen")</f>
        <v>Vor mehr als 30 Tagen</v>
      </c>
      <c r="C677" s="7" t="str">
        <f>IFERROR(__xludf.DUMMYFUNCTION("""COMPUTED_VALUE"""),"Cloud Data Architect")</f>
        <v>Cloud Data Architect</v>
      </c>
      <c r="D677" s="7" t="str">
        <f>IFERROR(__xludf.DUMMYFUNCTION("""COMPUTED_VALUE"""),"München")</f>
        <v>München</v>
      </c>
      <c r="E677" s="7" t="str">
        <f>IFERROR(__xludf.DUMMYFUNCTION("""COMPUTED_VALUE"""),"Cloudreach")</f>
        <v>Cloudreach</v>
      </c>
      <c r="F677" s="7" t="str">
        <f>IFERROR(__xludf.DUMMYFUNCTION("""COMPUTED_VALUE"""),"None")</f>
        <v>None</v>
      </c>
      <c r="G677" s="7" t="str">
        <f>IFERROR(__xludf.DUMMYFUNCTION("""COMPUTED_VALUE"""),"No salary data")</f>
        <v>No salary data</v>
      </c>
      <c r="H677" s="7" t="str">
        <f>IFERROR(__xludf.DUMMYFUNCTION("""COMPUTED_VALUE"""),"No salary data")</f>
        <v>No salary data</v>
      </c>
      <c r="I677" s="7" t="str">
        <f>IFERROR(__xludf.DUMMYFUNCTION("""COMPUTED_VALUE"""),"No salary data")</f>
        <v>No salary data</v>
      </c>
      <c r="J677" s="7" t="str">
        <f>IFERROR(__xludf.DUMMYFUNCTION("""COMPUTED_VALUE"""),"Python, Excel, Machine Learning")</f>
        <v>Python, Excel, Machine Learning</v>
      </c>
      <c r="K677" s="7" t="str">
        <f>IFERROR(__xludf.DUMMYFUNCTION("""COMPUTED_VALUE"""),"No job type data")</f>
        <v>No job type data</v>
      </c>
      <c r="L677" s="7" t="str">
        <f>IFERROR(__xludf.DUMMYFUNCTION("""COMPUTED_VALUE"""),"None")</f>
        <v>None</v>
      </c>
      <c r="M677" s="7"/>
      <c r="N677" s="7"/>
      <c r="O677" s="7"/>
    </row>
    <row r="678">
      <c r="A678" s="29">
        <f>IFERROR(__xludf.DUMMYFUNCTION("""COMPUTED_VALUE"""),674.0)</f>
        <v>674</v>
      </c>
      <c r="B678" s="7" t="str">
        <f>IFERROR(__xludf.DUMMYFUNCTION("""COMPUTED_VALUE"""),"Vor mehr als 30 Tagen")</f>
        <v>Vor mehr als 30 Tagen</v>
      </c>
      <c r="C678" s="7" t="str">
        <f>IFERROR(__xludf.DUMMYFUNCTION("""COMPUTED_VALUE"""),"Koordinator Data Analytics (m/w/d)")</f>
        <v>Koordinator Data Analytics (m/w/d)</v>
      </c>
      <c r="D678" s="7" t="str">
        <f>IFERROR(__xludf.DUMMYFUNCTION("""COMPUTED_VALUE"""),"Augsburg")</f>
        <v>Augsburg</v>
      </c>
      <c r="E678" s="7" t="str">
        <f>IFERROR(__xludf.DUMMYFUNCTION("""COMPUTED_VALUE"""),"RENK AG Jobboard")</f>
        <v>RENK AG Jobboard</v>
      </c>
      <c r="F678" s="7" t="str">
        <f>IFERROR(__xludf.DUMMYFUNCTION("""COMPUTED_VALUE"""),"None")</f>
        <v>None</v>
      </c>
      <c r="G678" s="7" t="str">
        <f>IFERROR(__xludf.DUMMYFUNCTION("""COMPUTED_VALUE"""),"No salary data")</f>
        <v>No salary data</v>
      </c>
      <c r="H678" s="7" t="str">
        <f>IFERROR(__xludf.DUMMYFUNCTION("""COMPUTED_VALUE"""),"No salary data")</f>
        <v>No salary data</v>
      </c>
      <c r="I678" s="7" t="str">
        <f>IFERROR(__xludf.DUMMYFUNCTION("""COMPUTED_VALUE"""),"No salary data")</f>
        <v>No salary data</v>
      </c>
      <c r="J678" s="7" t="str">
        <f>IFERROR(__xludf.DUMMYFUNCTION("""COMPUTED_VALUE"""),"Python, Machine Learning, Git, Agile, Scrum")</f>
        <v>Python, Machine Learning, Git, Agile, Scrum</v>
      </c>
      <c r="K678" s="7" t="str">
        <f>IFERROR(__xludf.DUMMYFUNCTION("""COMPUTED_VALUE"""),"No job type data")</f>
        <v>No job type data</v>
      </c>
      <c r="L678" s="7" t="str">
        <f>IFERROR(__xludf.DUMMYFUNCTION("""COMPUTED_VALUE"""),"None")</f>
        <v>None</v>
      </c>
      <c r="M678" s="7"/>
      <c r="N678" s="7"/>
      <c r="O678" s="7"/>
    </row>
    <row r="679">
      <c r="A679" s="29">
        <f>IFERROR(__xludf.DUMMYFUNCTION("""COMPUTED_VALUE"""),675.0)</f>
        <v>675</v>
      </c>
      <c r="B679" s="7" t="str">
        <f>IFERROR(__xludf.DUMMYFUNCTION("""COMPUTED_VALUE"""),"Vor mehr als 30 Tagen")</f>
        <v>Vor mehr als 30 Tagen</v>
      </c>
      <c r="C679" s="7" t="str">
        <f>IFERROR(__xludf.DUMMYFUNCTION("""COMPUTED_VALUE"""),"Big Data Engineer/Cloud Developer (f/m/x)")</f>
        <v>Big Data Engineer/Cloud Developer (f/m/x)</v>
      </c>
      <c r="D679" s="7" t="str">
        <f>IFERROR(__xludf.DUMMYFUNCTION("""COMPUTED_VALUE"""),"Deutschland")</f>
        <v>Deutschland</v>
      </c>
      <c r="E679" s="7" t="str">
        <f>IFERROR(__xludf.DUMMYFUNCTION("""COMPUTED_VALUE"""),"Raiffeisen Capital Management")</f>
        <v>Raiffeisen Capital Management</v>
      </c>
      <c r="F679" s="7" t="str">
        <f>IFERROR(__xludf.DUMMYFUNCTION("""COMPUTED_VALUE"""),"60,000 € pro Jahr")</f>
        <v>60,000 € pro Jahr</v>
      </c>
      <c r="G679" s="7">
        <f>IFERROR(__xludf.DUMMYFUNCTION("""COMPUTED_VALUE"""),60000.0)</f>
        <v>60000</v>
      </c>
      <c r="H679" s="7" t="str">
        <f>IFERROR(__xludf.DUMMYFUNCTION("""COMPUTED_VALUE"""),"Jahr")</f>
        <v>Jahr</v>
      </c>
      <c r="I679" s="7">
        <f>IFERROR(__xludf.DUMMYFUNCTION("""COMPUTED_VALUE"""),60000.0)</f>
        <v>60000</v>
      </c>
      <c r="J679" s="7" t="str">
        <f>IFERROR(__xludf.DUMMYFUNCTION("""COMPUTED_VALUE"""),"Python, SQL, Git, Agile")</f>
        <v>Python, SQL, Git, Agile</v>
      </c>
      <c r="K679" s="7" t="str">
        <f>IFERROR(__xludf.DUMMYFUNCTION("""COMPUTED_VALUE"""),"No job type data")</f>
        <v>No job type data</v>
      </c>
      <c r="L679" s="7" t="str">
        <f>IFERROR(__xludf.DUMMYFUNCTION("""COMPUTED_VALUE"""),"None")</f>
        <v>None</v>
      </c>
      <c r="M679" s="7"/>
      <c r="N679" s="7"/>
      <c r="O679" s="7"/>
    </row>
    <row r="680">
      <c r="A680" s="29">
        <f>IFERROR(__xludf.DUMMYFUNCTION("""COMPUTED_VALUE"""),676.0)</f>
        <v>676</v>
      </c>
      <c r="B680" s="7" t="str">
        <f>IFERROR(__xludf.DUMMYFUNCTION("""COMPUTED_VALUE"""),"vor 6 Tagen")</f>
        <v>vor 6 Tagen</v>
      </c>
      <c r="C680" s="7" t="str">
        <f>IFERROR(__xludf.DUMMYFUNCTION("""COMPUTED_VALUE"""),"Valuation Specialist (f/m/d)")</f>
        <v>Valuation Specialist (f/m/d)</v>
      </c>
      <c r="D680" s="7" t="str">
        <f>IFERROR(__xludf.DUMMYFUNCTION("""COMPUTED_VALUE"""),"Frankfurt am Main")</f>
        <v>Frankfurt am Main</v>
      </c>
      <c r="E680" s="7" t="str">
        <f>IFERROR(__xludf.DUMMYFUNCTION("""COMPUTED_VALUE"""),"Allianz Global Investors")</f>
        <v>Allianz Global Investors</v>
      </c>
      <c r="F680" s="7" t="str">
        <f>IFERROR(__xludf.DUMMYFUNCTION("""COMPUTED_VALUE"""),"None")</f>
        <v>None</v>
      </c>
      <c r="G680" s="7" t="str">
        <f>IFERROR(__xludf.DUMMYFUNCTION("""COMPUTED_VALUE"""),"No salary data")</f>
        <v>No salary data</v>
      </c>
      <c r="H680" s="7" t="str">
        <f>IFERROR(__xludf.DUMMYFUNCTION("""COMPUTED_VALUE"""),"No salary data")</f>
        <v>No salary data</v>
      </c>
      <c r="I680" s="7" t="str">
        <f>IFERROR(__xludf.DUMMYFUNCTION("""COMPUTED_VALUE"""),"No salary data")</f>
        <v>No salary data</v>
      </c>
      <c r="J680" s="7" t="str">
        <f>IFERROR(__xludf.DUMMYFUNCTION("""COMPUTED_VALUE"""),"Python, SQL, Excel, Statistic, Agile")</f>
        <v>Python, SQL, Excel, Statistic, Agile</v>
      </c>
      <c r="K680" s="7" t="str">
        <f>IFERROR(__xludf.DUMMYFUNCTION("""COMPUTED_VALUE"""),"No job type data")</f>
        <v>No job type data</v>
      </c>
      <c r="L680" s="7" t="str">
        <f>IFERROR(__xludf.DUMMYFUNCTION("""COMPUTED_VALUE"""),"3,9")</f>
        <v>3,9</v>
      </c>
      <c r="M680" s="7"/>
      <c r="N680" s="7"/>
      <c r="O680" s="7"/>
    </row>
    <row r="681">
      <c r="A681" s="29">
        <f>IFERROR(__xludf.DUMMYFUNCTION("""COMPUTED_VALUE"""),677.0)</f>
        <v>677</v>
      </c>
      <c r="B681" s="7" t="str">
        <f>IFERROR(__xludf.DUMMYFUNCTION("""COMPUTED_VALUE"""),"Vor mehr als 30 Tagen")</f>
        <v>Vor mehr als 30 Tagen</v>
      </c>
      <c r="C681" s="7" t="str">
        <f>IFERROR(__xludf.DUMMYFUNCTION("""COMPUTED_VALUE"""),"Junior IT Specialist for system integration (m / f / d) - In...")</f>
        <v>Junior IT Specialist for system integration (m / f / d) - In...</v>
      </c>
      <c r="D681" s="7" t="str">
        <f>IFERROR(__xludf.DUMMYFUNCTION("""COMPUTED_VALUE"""),"Berlin")</f>
        <v>Berlin</v>
      </c>
      <c r="E681" s="7" t="str">
        <f>IFERROR(__xludf.DUMMYFUNCTION("""COMPUTED_VALUE"""),"Smart Steel Technologies GmbH")</f>
        <v>Smart Steel Technologies GmbH</v>
      </c>
      <c r="F681" s="7" t="str">
        <f>IFERROR(__xludf.DUMMYFUNCTION("""COMPUTED_VALUE"""),"None")</f>
        <v>None</v>
      </c>
      <c r="G681" s="7" t="str">
        <f>IFERROR(__xludf.DUMMYFUNCTION("""COMPUTED_VALUE"""),"No salary data")</f>
        <v>No salary data</v>
      </c>
      <c r="H681" s="7" t="str">
        <f>IFERROR(__xludf.DUMMYFUNCTION("""COMPUTED_VALUE"""),"No salary data")</f>
        <v>No salary data</v>
      </c>
      <c r="I681" s="7" t="str">
        <f>IFERROR(__xludf.DUMMYFUNCTION("""COMPUTED_VALUE"""),"No salary data")</f>
        <v>No salary data</v>
      </c>
      <c r="J681" s="7" t="str">
        <f>IFERROR(__xludf.DUMMYFUNCTION("""COMPUTED_VALUE"""),"Python, SQL, Machine Learning, Statistic, Linux")</f>
        <v>Python, SQL, Machine Learning, Statistic, Linux</v>
      </c>
      <c r="K681" s="7" t="str">
        <f>IFERROR(__xludf.DUMMYFUNCTION("""COMPUTED_VALUE"""),"No job type data")</f>
        <v>No job type data</v>
      </c>
      <c r="L681" s="7" t="str">
        <f>IFERROR(__xludf.DUMMYFUNCTION("""COMPUTED_VALUE"""),"None")</f>
        <v>None</v>
      </c>
      <c r="M681" s="7"/>
      <c r="N681" s="7"/>
      <c r="O681" s="7"/>
    </row>
    <row r="682">
      <c r="A682" s="29">
        <f>IFERROR(__xludf.DUMMYFUNCTION("""COMPUTED_VALUE"""),678.0)</f>
        <v>678</v>
      </c>
      <c r="B682" s="7" t="str">
        <f>IFERROR(__xludf.DUMMYFUNCTION("""COMPUTED_VALUE"""),"vor 4 Tagen")</f>
        <v>vor 4 Tagen</v>
      </c>
      <c r="C682" s="7" t="str">
        <f>IFERROR(__xludf.DUMMYFUNCTION("""COMPUTED_VALUE"""),"BI Engineer (m/w/d)")</f>
        <v>BI Engineer (m/w/d)</v>
      </c>
      <c r="D682" s="7" t="str">
        <f>IFERROR(__xludf.DUMMYFUNCTION("""COMPUTED_VALUE"""),"Ratingen")</f>
        <v>Ratingen</v>
      </c>
      <c r="E682" s="7" t="str">
        <f>IFERROR(__xludf.DUMMYFUNCTION("""COMPUTED_VALUE"""),"DKV EURO SERVICE GmbH + Co. KG")</f>
        <v>DKV EURO SERVICE GmbH + Co. KG</v>
      </c>
      <c r="F682" s="7" t="str">
        <f>IFERROR(__xludf.DUMMYFUNCTION("""COMPUTED_VALUE"""),"None")</f>
        <v>None</v>
      </c>
      <c r="G682" s="7" t="str">
        <f>IFERROR(__xludf.DUMMYFUNCTION("""COMPUTED_VALUE"""),"No salary data")</f>
        <v>No salary data</v>
      </c>
      <c r="H682" s="7" t="str">
        <f>IFERROR(__xludf.DUMMYFUNCTION("""COMPUTED_VALUE"""),"No salary data")</f>
        <v>No salary data</v>
      </c>
      <c r="I682" s="7" t="str">
        <f>IFERROR(__xludf.DUMMYFUNCTION("""COMPUTED_VALUE"""),"No salary data")</f>
        <v>No salary data</v>
      </c>
      <c r="J682" s="7"/>
      <c r="K682" s="7" t="str">
        <f>IFERROR(__xludf.DUMMYFUNCTION("""COMPUTED_VALUE"""),"No job type data")</f>
        <v>No job type data</v>
      </c>
      <c r="L682" s="7" t="str">
        <f>IFERROR(__xludf.DUMMYFUNCTION("""COMPUTED_VALUE"""),"None")</f>
        <v>None</v>
      </c>
      <c r="M682" s="7"/>
      <c r="N682" s="7"/>
      <c r="O682" s="7"/>
    </row>
    <row r="683">
      <c r="A683" s="29">
        <f>IFERROR(__xludf.DUMMYFUNCTION("""COMPUTED_VALUE"""),679.0)</f>
        <v>679</v>
      </c>
      <c r="B683" s="7" t="str">
        <f>IFERROR(__xludf.DUMMYFUNCTION("""COMPUTED_VALUE"""),"Vor mehr als 30 Tagen")</f>
        <v>Vor mehr als 30 Tagen</v>
      </c>
      <c r="C683" s="7" t="str">
        <f>IFERROR(__xludf.DUMMYFUNCTION("""COMPUTED_VALUE"""),"Data Intelligence Engineer (m/w/d) zur Unterstützung der Dig...")</f>
        <v>Data Intelligence Engineer (m/w/d) zur Unterstützung der Dig...</v>
      </c>
      <c r="D683" s="7" t="str">
        <f>IFERROR(__xludf.DUMMYFUNCTION("""COMPUTED_VALUE"""),"Sulzbach")</f>
        <v>Sulzbach</v>
      </c>
      <c r="E683" s="7" t="str">
        <f>IFERROR(__xludf.DUMMYFUNCTION("""COMPUTED_VALUE"""),"CGI Group, Inc.")</f>
        <v>CGI Group, Inc.</v>
      </c>
      <c r="F683" s="7" t="str">
        <f>IFERROR(__xludf.DUMMYFUNCTION("""COMPUTED_VALUE"""),"None")</f>
        <v>None</v>
      </c>
      <c r="G683" s="7" t="str">
        <f>IFERROR(__xludf.DUMMYFUNCTION("""COMPUTED_VALUE"""),"No salary data")</f>
        <v>No salary data</v>
      </c>
      <c r="H683" s="7" t="str">
        <f>IFERROR(__xludf.DUMMYFUNCTION("""COMPUTED_VALUE"""),"No salary data")</f>
        <v>No salary data</v>
      </c>
      <c r="I683" s="7" t="str">
        <f>IFERROR(__xludf.DUMMYFUNCTION("""COMPUTED_VALUE"""),"No salary data")</f>
        <v>No salary data</v>
      </c>
      <c r="J683" s="7" t="str">
        <f>IFERROR(__xludf.DUMMYFUNCTION("""COMPUTED_VALUE"""),"Python, SQL, Tableau, Git")</f>
        <v>Python, SQL, Tableau, Git</v>
      </c>
      <c r="K683" s="7" t="str">
        <f>IFERROR(__xludf.DUMMYFUNCTION("""COMPUTED_VALUE"""),"No job type data")</f>
        <v>No job type data</v>
      </c>
      <c r="L683" s="7" t="str">
        <f>IFERROR(__xludf.DUMMYFUNCTION("""COMPUTED_VALUE"""),"3,6")</f>
        <v>3,6</v>
      </c>
      <c r="M683" s="7"/>
      <c r="N683" s="7"/>
      <c r="O683" s="7"/>
    </row>
    <row r="684">
      <c r="A684" s="29">
        <f>IFERROR(__xludf.DUMMYFUNCTION("""COMPUTED_VALUE"""),680.0)</f>
        <v>680</v>
      </c>
      <c r="B684" s="7" t="str">
        <f>IFERROR(__xludf.DUMMYFUNCTION("""COMPUTED_VALUE"""),"Vor mehr als 30 Tagen")</f>
        <v>Vor mehr als 30 Tagen</v>
      </c>
      <c r="C684" s="7" t="str">
        <f>IFERROR(__xludf.DUMMYFUNCTION("""COMPUTED_VALUE"""),"Praktikum „Data Science“ im Bereich Market Intelligence")</f>
        <v>Praktikum „Data Science“ im Bereich Market Intelligence</v>
      </c>
      <c r="D684" s="7" t="str">
        <f>IFERROR(__xludf.DUMMYFUNCTION("""COMPUTED_VALUE"""),"Frankfurt am Main")</f>
        <v>Frankfurt am Main</v>
      </c>
      <c r="E684" s="7" t="str">
        <f>IFERROR(__xludf.DUMMYFUNCTION("""COMPUTED_VALUE"""),"Deutsche Bundesbank")</f>
        <v>Deutsche Bundesbank</v>
      </c>
      <c r="F684" s="7" t="str">
        <f>IFERROR(__xludf.DUMMYFUNCTION("""COMPUTED_VALUE"""),"None")</f>
        <v>None</v>
      </c>
      <c r="G684" s="7" t="str">
        <f>IFERROR(__xludf.DUMMYFUNCTION("""COMPUTED_VALUE"""),"No salary data")</f>
        <v>No salary data</v>
      </c>
      <c r="H684" s="7" t="str">
        <f>IFERROR(__xludf.DUMMYFUNCTION("""COMPUTED_VALUE"""),"No salary data")</f>
        <v>No salary data</v>
      </c>
      <c r="I684" s="7" t="str">
        <f>IFERROR(__xludf.DUMMYFUNCTION("""COMPUTED_VALUE"""),"No salary data")</f>
        <v>No salary data</v>
      </c>
      <c r="J684" s="7" t="str">
        <f>IFERROR(__xludf.DUMMYFUNCTION("""COMPUTED_VALUE"""),"Python")</f>
        <v>Python</v>
      </c>
      <c r="K684" s="7" t="str">
        <f>IFERROR(__xludf.DUMMYFUNCTION("""COMPUTED_VALUE"""),"No job type data")</f>
        <v>No job type data</v>
      </c>
      <c r="L684" s="7" t="str">
        <f>IFERROR(__xludf.DUMMYFUNCTION("""COMPUTED_VALUE"""),"4,2")</f>
        <v>4,2</v>
      </c>
      <c r="M684" s="7"/>
      <c r="N684" s="7"/>
      <c r="O684" s="7"/>
    </row>
    <row r="685">
      <c r="A685" s="29">
        <f>IFERROR(__xludf.DUMMYFUNCTION("""COMPUTED_VALUE"""),681.0)</f>
        <v>681</v>
      </c>
      <c r="B685" s="7" t="str">
        <f>IFERROR(__xludf.DUMMYFUNCTION("""COMPUTED_VALUE"""),"Vor mehr als 30 Tagen")</f>
        <v>Vor mehr als 30 Tagen</v>
      </c>
      <c r="C685" s="7" t="str">
        <f>IFERROR(__xludf.DUMMYFUNCTION("""COMPUTED_VALUE"""),"Data Analyst (m/w)")</f>
        <v>Data Analyst (m/w)</v>
      </c>
      <c r="D685" s="7" t="str">
        <f>IFERROR(__xludf.DUMMYFUNCTION("""COMPUTED_VALUE"""),"Berlin")</f>
        <v>Berlin</v>
      </c>
      <c r="E685" s="7" t="str">
        <f>IFERROR(__xludf.DUMMYFUNCTION("""COMPUTED_VALUE"""),"junokai GmbH")</f>
        <v>junokai GmbH</v>
      </c>
      <c r="F685" s="7" t="str">
        <f>IFERROR(__xludf.DUMMYFUNCTION("""COMPUTED_VALUE"""),"None")</f>
        <v>None</v>
      </c>
      <c r="G685" s="7" t="str">
        <f>IFERROR(__xludf.DUMMYFUNCTION("""COMPUTED_VALUE"""),"No salary data")</f>
        <v>No salary data</v>
      </c>
      <c r="H685" s="7" t="str">
        <f>IFERROR(__xludf.DUMMYFUNCTION("""COMPUTED_VALUE"""),"No salary data")</f>
        <v>No salary data</v>
      </c>
      <c r="I685" s="7" t="str">
        <f>IFERROR(__xludf.DUMMYFUNCTION("""COMPUTED_VALUE"""),"No salary data")</f>
        <v>No salary data</v>
      </c>
      <c r="J685" s="7" t="str">
        <f>IFERROR(__xludf.DUMMYFUNCTION("""COMPUTED_VALUE"""),"SQL, Excel")</f>
        <v>SQL, Excel</v>
      </c>
      <c r="K685" s="7" t="str">
        <f>IFERROR(__xludf.DUMMYFUNCTION("""COMPUTED_VALUE"""),"No job type data")</f>
        <v>No job type data</v>
      </c>
      <c r="L685" s="7" t="str">
        <f>IFERROR(__xludf.DUMMYFUNCTION("""COMPUTED_VALUE"""),"None")</f>
        <v>None</v>
      </c>
      <c r="M685" s="7"/>
      <c r="N685" s="7"/>
      <c r="O685" s="7"/>
    </row>
    <row r="686">
      <c r="A686" s="29">
        <f>IFERROR(__xludf.DUMMYFUNCTION("""COMPUTED_VALUE"""),682.0)</f>
        <v>682</v>
      </c>
      <c r="B686" s="7" t="str">
        <f>IFERROR(__xludf.DUMMYFUNCTION("""COMPUTED_VALUE"""),"Vor mehr als 30 Tagen")</f>
        <v>Vor mehr als 30 Tagen</v>
      </c>
      <c r="C686" s="7" t="str">
        <f>IFERROR(__xludf.DUMMYFUNCTION("""COMPUTED_VALUE"""),"Big Data Architekt (m/w/d)")</f>
        <v>Big Data Architekt (m/w/d)</v>
      </c>
      <c r="D686" s="7" t="str">
        <f>IFERROR(__xludf.DUMMYFUNCTION("""COMPUTED_VALUE"""),"München")</f>
        <v>München</v>
      </c>
      <c r="E686" s="7" t="str">
        <f>IFERROR(__xludf.DUMMYFUNCTION("""COMPUTED_VALUE"""),"mVISE AG")</f>
        <v>mVISE AG</v>
      </c>
      <c r="F686" s="7" t="str">
        <f>IFERROR(__xludf.DUMMYFUNCTION("""COMPUTED_VALUE"""),"None")</f>
        <v>None</v>
      </c>
      <c r="G686" s="7" t="str">
        <f>IFERROR(__xludf.DUMMYFUNCTION("""COMPUTED_VALUE"""),"No salary data")</f>
        <v>No salary data</v>
      </c>
      <c r="H686" s="7" t="str">
        <f>IFERROR(__xludf.DUMMYFUNCTION("""COMPUTED_VALUE"""),"No salary data")</f>
        <v>No salary data</v>
      </c>
      <c r="I686" s="7" t="str">
        <f>IFERROR(__xludf.DUMMYFUNCTION("""COMPUTED_VALUE"""),"No salary data")</f>
        <v>No salary data</v>
      </c>
      <c r="J686" s="7" t="str">
        <f>IFERROR(__xludf.DUMMYFUNCTION("""COMPUTED_VALUE"""),"Python, SQL, Agile")</f>
        <v>Python, SQL, Agile</v>
      </c>
      <c r="K686" s="7" t="str">
        <f>IFERROR(__xludf.DUMMYFUNCTION("""COMPUTED_VALUE"""),"No job type data")</f>
        <v>No job type data</v>
      </c>
      <c r="L686" s="7" t="str">
        <f>IFERROR(__xludf.DUMMYFUNCTION("""COMPUTED_VALUE"""),"5,0")</f>
        <v>5,0</v>
      </c>
      <c r="M686" s="7"/>
      <c r="N686" s="7"/>
      <c r="O686" s="7"/>
    </row>
    <row r="687">
      <c r="A687" s="29">
        <f>IFERROR(__xludf.DUMMYFUNCTION("""COMPUTED_VALUE"""),683.0)</f>
        <v>683</v>
      </c>
      <c r="B687" s="7" t="str">
        <f>IFERROR(__xludf.DUMMYFUNCTION("""COMPUTED_VALUE"""),"Vor mehr als 30 Tagen")</f>
        <v>Vor mehr als 30 Tagen</v>
      </c>
      <c r="C687" s="7" t="str">
        <f>IFERROR(__xludf.DUMMYFUNCTION("""COMPUTED_VALUE"""),"Marketing Web Data Analyst (w/m/d)")</f>
        <v>Marketing Web Data Analyst (w/m/d)</v>
      </c>
      <c r="D687" s="7" t="str">
        <f>IFERROR(__xludf.DUMMYFUNCTION("""COMPUTED_VALUE"""),"Berlin")</f>
        <v>Berlin</v>
      </c>
      <c r="E687" s="7" t="str">
        <f>IFERROR(__xludf.DUMMYFUNCTION("""COMPUTED_VALUE"""),"Sunday Natural Products GmbH")</f>
        <v>Sunday Natural Products GmbH</v>
      </c>
      <c r="F687" s="7" t="str">
        <f>IFERROR(__xludf.DUMMYFUNCTION("""COMPUTED_VALUE"""),"None")</f>
        <v>None</v>
      </c>
      <c r="G687" s="7" t="str">
        <f>IFERROR(__xludf.DUMMYFUNCTION("""COMPUTED_VALUE"""),"No salary data")</f>
        <v>No salary data</v>
      </c>
      <c r="H687" s="7" t="str">
        <f>IFERROR(__xludf.DUMMYFUNCTION("""COMPUTED_VALUE"""),"No salary data")</f>
        <v>No salary data</v>
      </c>
      <c r="I687" s="7" t="str">
        <f>IFERROR(__xludf.DUMMYFUNCTION("""COMPUTED_VALUE"""),"No salary data")</f>
        <v>No salary data</v>
      </c>
      <c r="J687" s="7" t="str">
        <f>IFERROR(__xludf.DUMMYFUNCTION("""COMPUTED_VALUE"""),"Python, SQL, Excel, Statistic")</f>
        <v>Python, SQL, Excel, Statistic</v>
      </c>
      <c r="K687" s="7" t="str">
        <f>IFERROR(__xludf.DUMMYFUNCTION("""COMPUTED_VALUE"""),"No job type data")</f>
        <v>No job type data</v>
      </c>
      <c r="L687" s="7" t="str">
        <f>IFERROR(__xludf.DUMMYFUNCTION("""COMPUTED_VALUE"""),"3,5")</f>
        <v>3,5</v>
      </c>
      <c r="M687" s="7"/>
      <c r="N687" s="7"/>
      <c r="O687" s="7"/>
    </row>
    <row r="688">
      <c r="A688" s="29">
        <f>IFERROR(__xludf.DUMMYFUNCTION("""COMPUTED_VALUE"""),684.0)</f>
        <v>684</v>
      </c>
      <c r="B688" s="7" t="str">
        <f>IFERROR(__xludf.DUMMYFUNCTION("""COMPUTED_VALUE"""),"Vor mehr als 30 Tagen")</f>
        <v>Vor mehr als 30 Tagen</v>
      </c>
      <c r="C688" s="7" t="str">
        <f>IFERROR(__xludf.DUMMYFUNCTION("""COMPUTED_VALUE"""),"Data Virtualization Expert (m/w/d)")</f>
        <v>Data Virtualization Expert (m/w/d)</v>
      </c>
      <c r="D688" s="7" t="str">
        <f>IFERROR(__xludf.DUMMYFUNCTION("""COMPUTED_VALUE"""),"Deutschland")</f>
        <v>Deutschland</v>
      </c>
      <c r="E688" s="7" t="str">
        <f>IFERROR(__xludf.DUMMYFUNCTION("""COMPUTED_VALUE"""),"areto consulting gmbh")</f>
        <v>areto consulting gmbh</v>
      </c>
      <c r="F688" s="7" t="str">
        <f>IFERROR(__xludf.DUMMYFUNCTION("""COMPUTED_VALUE"""),"None")</f>
        <v>None</v>
      </c>
      <c r="G688" s="7" t="str">
        <f>IFERROR(__xludf.DUMMYFUNCTION("""COMPUTED_VALUE"""),"No salary data")</f>
        <v>No salary data</v>
      </c>
      <c r="H688" s="7" t="str">
        <f>IFERROR(__xludf.DUMMYFUNCTION("""COMPUTED_VALUE"""),"No salary data")</f>
        <v>No salary data</v>
      </c>
      <c r="I688" s="7" t="str">
        <f>IFERROR(__xludf.DUMMYFUNCTION("""COMPUTED_VALUE"""),"No salary data")</f>
        <v>No salary data</v>
      </c>
      <c r="J688" s="7" t="str">
        <f>IFERROR(__xludf.DUMMYFUNCTION("""COMPUTED_VALUE"""),"Agile")</f>
        <v>Agile</v>
      </c>
      <c r="K688" s="7" t="str">
        <f>IFERROR(__xludf.DUMMYFUNCTION("""COMPUTED_VALUE"""),"No job type data")</f>
        <v>No job type data</v>
      </c>
      <c r="L688" s="7" t="str">
        <f>IFERROR(__xludf.DUMMYFUNCTION("""COMPUTED_VALUE"""),"None")</f>
        <v>None</v>
      </c>
      <c r="M688" s="7"/>
      <c r="N688" s="7"/>
      <c r="O688" s="7"/>
    </row>
    <row r="689">
      <c r="A689" s="29">
        <f>IFERROR(__xludf.DUMMYFUNCTION("""COMPUTED_VALUE"""),685.0)</f>
        <v>685</v>
      </c>
      <c r="B689" s="7" t="str">
        <f>IFERROR(__xludf.DUMMYFUNCTION("""COMPUTED_VALUE"""),"vor 24 Tagen")</f>
        <v>vor 24 Tagen</v>
      </c>
      <c r="C689" s="7" t="str">
        <f>IFERROR(__xludf.DUMMYFUNCTION("""COMPUTED_VALUE"""),"Akademische/-r Mitarbeiter/-in (m/w/d) für den Bereich Data...")</f>
        <v>Akademische/-r Mitarbeiter/-in (m/w/d) für den Bereich Data...</v>
      </c>
      <c r="D689" s="7" t="str">
        <f>IFERROR(__xludf.DUMMYFUNCTION("""COMPUTED_VALUE"""),"Villingen-Schwenningen")</f>
        <v>Villingen-Schwenningen</v>
      </c>
      <c r="E689" s="7" t="str">
        <f>IFERROR(__xludf.DUMMYFUNCTION("""COMPUTED_VALUE"""),"Hochschule Furtwangen")</f>
        <v>Hochschule Furtwangen</v>
      </c>
      <c r="F689" s="7" t="str">
        <f>IFERROR(__xludf.DUMMYFUNCTION("""COMPUTED_VALUE"""),"None")</f>
        <v>None</v>
      </c>
      <c r="G689" s="7" t="str">
        <f>IFERROR(__xludf.DUMMYFUNCTION("""COMPUTED_VALUE"""),"No salary data")</f>
        <v>No salary data</v>
      </c>
      <c r="H689" s="7" t="str">
        <f>IFERROR(__xludf.DUMMYFUNCTION("""COMPUTED_VALUE"""),"No salary data")</f>
        <v>No salary data</v>
      </c>
      <c r="I689" s="7" t="str">
        <f>IFERROR(__xludf.DUMMYFUNCTION("""COMPUTED_VALUE"""),"No salary data")</f>
        <v>No salary data</v>
      </c>
      <c r="J689" s="7" t="str">
        <f>IFERROR(__xludf.DUMMYFUNCTION("""COMPUTED_VALUE"""),"Python, Machine Learning")</f>
        <v>Python, Machine Learning</v>
      </c>
      <c r="K689" s="7" t="str">
        <f>IFERROR(__xludf.DUMMYFUNCTION("""COMPUTED_VALUE"""),"No job type data")</f>
        <v>No job type data</v>
      </c>
      <c r="L689" s="7" t="str">
        <f>IFERROR(__xludf.DUMMYFUNCTION("""COMPUTED_VALUE"""),"4,0")</f>
        <v>4,0</v>
      </c>
      <c r="M689" s="7"/>
      <c r="N689" s="7"/>
      <c r="O689" s="7"/>
    </row>
    <row r="690">
      <c r="A690" s="29">
        <f>IFERROR(__xludf.DUMMYFUNCTION("""COMPUTED_VALUE"""),686.0)</f>
        <v>686</v>
      </c>
      <c r="B690" s="7" t="str">
        <f>IFERROR(__xludf.DUMMYFUNCTION("""COMPUTED_VALUE"""),"Vor mehr als 30 Tagen")</f>
        <v>Vor mehr als 30 Tagen</v>
      </c>
      <c r="C690" s="7" t="str">
        <f>IFERROR(__xludf.DUMMYFUNCTION("""COMPUTED_VALUE"""),"Datenbankentwickler/Data Scientist (m/w/d)")</f>
        <v>Datenbankentwickler/Data Scientist (m/w/d)</v>
      </c>
      <c r="D690" s="7" t="str">
        <f>IFERROR(__xludf.DUMMYFUNCTION("""COMPUTED_VALUE"""),"Kochel a.See")</f>
        <v>Kochel a.See</v>
      </c>
      <c r="E690" s="7" t="str">
        <f>IFERROR(__xludf.DUMMYFUNCTION("""COMPUTED_VALUE"""),"RCE Medien GmbH &amp; Co. KG")</f>
        <v>RCE Medien GmbH &amp; Co. KG</v>
      </c>
      <c r="F690" s="7" t="str">
        <f>IFERROR(__xludf.DUMMYFUNCTION("""COMPUTED_VALUE"""),"None")</f>
        <v>None</v>
      </c>
      <c r="G690" s="7" t="str">
        <f>IFERROR(__xludf.DUMMYFUNCTION("""COMPUTED_VALUE"""),"No salary data")</f>
        <v>No salary data</v>
      </c>
      <c r="H690" s="7" t="str">
        <f>IFERROR(__xludf.DUMMYFUNCTION("""COMPUTED_VALUE"""),"No salary data")</f>
        <v>No salary data</v>
      </c>
      <c r="I690" s="7" t="str">
        <f>IFERROR(__xludf.DUMMYFUNCTION("""COMPUTED_VALUE"""),"No salary data")</f>
        <v>No salary data</v>
      </c>
      <c r="J690" s="7"/>
      <c r="K690" s="7" t="str">
        <f>IFERROR(__xludf.DUMMYFUNCTION("""COMPUTED_VALUE"""),"No job type data")</f>
        <v>No job type data</v>
      </c>
      <c r="L690" s="7" t="str">
        <f>IFERROR(__xludf.DUMMYFUNCTION("""COMPUTED_VALUE"""),"None")</f>
        <v>None</v>
      </c>
      <c r="M690" s="7"/>
      <c r="N690" s="7"/>
      <c r="O690" s="7"/>
    </row>
    <row r="691">
      <c r="A691" s="29">
        <f>IFERROR(__xludf.DUMMYFUNCTION("""COMPUTED_VALUE"""),687.0)</f>
        <v>687</v>
      </c>
      <c r="B691" s="7" t="str">
        <f>IFERROR(__xludf.DUMMYFUNCTION("""COMPUTED_VALUE"""),"Vor mehr als 30 Tagen")</f>
        <v>Vor mehr als 30 Tagen</v>
      </c>
      <c r="C691" s="7" t="str">
        <f>IFERROR(__xludf.DUMMYFUNCTION("""COMPUTED_VALUE"""),"Data Analyst - Business")</f>
        <v>Data Analyst - Business</v>
      </c>
      <c r="D691" s="7" t="str">
        <f>IFERROR(__xludf.DUMMYFUNCTION("""COMPUTED_VALUE"""),"Berlin")</f>
        <v>Berlin</v>
      </c>
      <c r="E691" s="7" t="str">
        <f>IFERROR(__xludf.DUMMYFUNCTION("""COMPUTED_VALUE"""),"Trade Republic Bank GmbH")</f>
        <v>Trade Republic Bank GmbH</v>
      </c>
      <c r="F691" s="7" t="str">
        <f>IFERROR(__xludf.DUMMYFUNCTION("""COMPUTED_VALUE"""),"None")</f>
        <v>None</v>
      </c>
      <c r="G691" s="7" t="str">
        <f>IFERROR(__xludf.DUMMYFUNCTION("""COMPUTED_VALUE"""),"No salary data")</f>
        <v>No salary data</v>
      </c>
      <c r="H691" s="7" t="str">
        <f>IFERROR(__xludf.DUMMYFUNCTION("""COMPUTED_VALUE"""),"No salary data")</f>
        <v>No salary data</v>
      </c>
      <c r="I691" s="7" t="str">
        <f>IFERROR(__xludf.DUMMYFUNCTION("""COMPUTED_VALUE"""),"No salary data")</f>
        <v>No salary data</v>
      </c>
      <c r="J691" s="7" t="str">
        <f>IFERROR(__xludf.DUMMYFUNCTION("""COMPUTED_VALUE"""),"SQL, Tableau, Statistic")</f>
        <v>SQL, Tableau, Statistic</v>
      </c>
      <c r="K691" s="7" t="str">
        <f>IFERROR(__xludf.DUMMYFUNCTION("""COMPUTED_VALUE"""),"No job type data")</f>
        <v>No job type data</v>
      </c>
      <c r="L691" s="7" t="str">
        <f>IFERROR(__xludf.DUMMYFUNCTION("""COMPUTED_VALUE"""),"None")</f>
        <v>None</v>
      </c>
      <c r="M691" s="7"/>
      <c r="N691" s="7"/>
      <c r="O691" s="7"/>
    </row>
    <row r="692">
      <c r="A692" s="29">
        <f>IFERROR(__xludf.DUMMYFUNCTION("""COMPUTED_VALUE"""),688.0)</f>
        <v>688</v>
      </c>
      <c r="B692" s="7" t="str">
        <f>IFERROR(__xludf.DUMMYFUNCTION("""COMPUTED_VALUE"""),"Heute")</f>
        <v>Heute</v>
      </c>
      <c r="C692" s="7" t="str">
        <f>IFERROR(__xludf.DUMMYFUNCTION("""COMPUTED_VALUE"""),"Machine Learning und Big Data Engineer (m/w/d)*")</f>
        <v>Machine Learning und Big Data Engineer (m/w/d)*</v>
      </c>
      <c r="D692" s="7" t="str">
        <f>IFERROR(__xludf.DUMMYFUNCTION("""COMPUTED_VALUE"""),"München")</f>
        <v>München</v>
      </c>
      <c r="E692" s="7" t="str">
        <f>IFERROR(__xludf.DUMMYFUNCTION("""COMPUTED_VALUE"""),"mgm technology partners GmbH")</f>
        <v>mgm technology partners GmbH</v>
      </c>
      <c r="F692" s="7" t="str">
        <f>IFERROR(__xludf.DUMMYFUNCTION("""COMPUTED_VALUE"""),"None")</f>
        <v>None</v>
      </c>
      <c r="G692" s="7" t="str">
        <f>IFERROR(__xludf.DUMMYFUNCTION("""COMPUTED_VALUE"""),"No salary data")</f>
        <v>No salary data</v>
      </c>
      <c r="H692" s="7" t="str">
        <f>IFERROR(__xludf.DUMMYFUNCTION("""COMPUTED_VALUE"""),"No salary data")</f>
        <v>No salary data</v>
      </c>
      <c r="I692" s="7" t="str">
        <f>IFERROR(__xludf.DUMMYFUNCTION("""COMPUTED_VALUE"""),"No salary data")</f>
        <v>No salary data</v>
      </c>
      <c r="J692" s="7" t="str">
        <f>IFERROR(__xludf.DUMMYFUNCTION("""COMPUTED_VALUE"""),"Python, Machine Learning, Git")</f>
        <v>Python, Machine Learning, Git</v>
      </c>
      <c r="K692" s="7" t="str">
        <f>IFERROR(__xludf.DUMMYFUNCTION("""COMPUTED_VALUE"""),"No job type data")</f>
        <v>No job type data</v>
      </c>
      <c r="L692" s="7" t="str">
        <f>IFERROR(__xludf.DUMMYFUNCTION("""COMPUTED_VALUE"""),"None")</f>
        <v>None</v>
      </c>
      <c r="M692" s="7"/>
      <c r="N692" s="7"/>
      <c r="O692" s="7"/>
    </row>
    <row r="693">
      <c r="A693" s="29">
        <f>IFERROR(__xludf.DUMMYFUNCTION("""COMPUTED_VALUE"""),689.0)</f>
        <v>689</v>
      </c>
      <c r="B693" s="7" t="str">
        <f>IFERROR(__xludf.DUMMYFUNCTION("""COMPUTED_VALUE"""),"vor 5 Tagen")</f>
        <v>vor 5 Tagen</v>
      </c>
      <c r="C693" s="7" t="str">
        <f>IFERROR(__xludf.DUMMYFUNCTION("""COMPUTED_VALUE"""),"(Senior) Analytics Expert /Data Scientist (m/w/d)")</f>
        <v>(Senior) Analytics Expert /Data Scientist (m/w/d)</v>
      </c>
      <c r="D693" s="7" t="str">
        <f>IFERROR(__xludf.DUMMYFUNCTION("""COMPUTED_VALUE"""),"Hamburg")</f>
        <v>Hamburg</v>
      </c>
      <c r="E693" s="7" t="str">
        <f>IFERROR(__xludf.DUMMYFUNCTION("""COMPUTED_VALUE"""),"Datalogue GmbH")</f>
        <v>Datalogue GmbH</v>
      </c>
      <c r="F693" s="7" t="str">
        <f>IFERROR(__xludf.DUMMYFUNCTION("""COMPUTED_VALUE"""),"None")</f>
        <v>None</v>
      </c>
      <c r="G693" s="7" t="str">
        <f>IFERROR(__xludf.DUMMYFUNCTION("""COMPUTED_VALUE"""),"No salary data")</f>
        <v>No salary data</v>
      </c>
      <c r="H693" s="7" t="str">
        <f>IFERROR(__xludf.DUMMYFUNCTION("""COMPUTED_VALUE"""),"No salary data")</f>
        <v>No salary data</v>
      </c>
      <c r="I693" s="7" t="str">
        <f>IFERROR(__xludf.DUMMYFUNCTION("""COMPUTED_VALUE"""),"No salary data")</f>
        <v>No salary data</v>
      </c>
      <c r="J693" s="7" t="str">
        <f>IFERROR(__xludf.DUMMYFUNCTION("""COMPUTED_VALUE"""),"Python")</f>
        <v>Python</v>
      </c>
      <c r="K693" s="7" t="str">
        <f>IFERROR(__xludf.DUMMYFUNCTION("""COMPUTED_VALUE"""),"No job type data")</f>
        <v>No job type data</v>
      </c>
      <c r="L693" s="7" t="str">
        <f>IFERROR(__xludf.DUMMYFUNCTION("""COMPUTED_VALUE"""),"None")</f>
        <v>None</v>
      </c>
      <c r="M693" s="7"/>
      <c r="N693" s="7"/>
      <c r="O693" s="7"/>
    </row>
    <row r="694">
      <c r="A694" s="29">
        <f>IFERROR(__xludf.DUMMYFUNCTION("""COMPUTED_VALUE"""),690.0)</f>
        <v>690</v>
      </c>
      <c r="B694" s="7" t="str">
        <f>IFERROR(__xludf.DUMMYFUNCTION("""COMPUTED_VALUE"""),"Vor mehr als 30 Tagen")</f>
        <v>Vor mehr als 30 Tagen</v>
      </c>
      <c r="C694" s="7" t="str">
        <f>IFERROR(__xludf.DUMMYFUNCTION("""COMPUTED_VALUE"""),"Data Engineer (m/w/d)")</f>
        <v>Data Engineer (m/w/d)</v>
      </c>
      <c r="D694" s="7" t="str">
        <f>IFERROR(__xludf.DUMMYFUNCTION("""COMPUTED_VALUE"""),"Düsseldorf")</f>
        <v>Düsseldorf</v>
      </c>
      <c r="E694" s="7" t="str">
        <f>IFERROR(__xludf.DUMMYFUNCTION("""COMPUTED_VALUE"""),"ACP Digital Analytics GmbH")</f>
        <v>ACP Digital Analytics GmbH</v>
      </c>
      <c r="F694" s="7" t="str">
        <f>IFERROR(__xludf.DUMMYFUNCTION("""COMPUTED_VALUE"""),"None")</f>
        <v>None</v>
      </c>
      <c r="G694" s="7" t="str">
        <f>IFERROR(__xludf.DUMMYFUNCTION("""COMPUTED_VALUE"""),"No salary data")</f>
        <v>No salary data</v>
      </c>
      <c r="H694" s="7" t="str">
        <f>IFERROR(__xludf.DUMMYFUNCTION("""COMPUTED_VALUE"""),"No salary data")</f>
        <v>No salary data</v>
      </c>
      <c r="I694" s="7" t="str">
        <f>IFERROR(__xludf.DUMMYFUNCTION("""COMPUTED_VALUE"""),"No salary data")</f>
        <v>No salary data</v>
      </c>
      <c r="J694" s="7" t="str">
        <f>IFERROR(__xludf.DUMMYFUNCTION("""COMPUTED_VALUE"""),"Python, Machine Learning")</f>
        <v>Python, Machine Learning</v>
      </c>
      <c r="K694" s="7" t="str">
        <f>IFERROR(__xludf.DUMMYFUNCTION("""COMPUTED_VALUE"""),"No job type data")</f>
        <v>No job type data</v>
      </c>
      <c r="L694" s="7" t="str">
        <f>IFERROR(__xludf.DUMMYFUNCTION("""COMPUTED_VALUE"""),"None")</f>
        <v>None</v>
      </c>
      <c r="M694" s="7"/>
      <c r="N694" s="7"/>
      <c r="O694" s="7"/>
    </row>
    <row r="695">
      <c r="A695" s="29">
        <f>IFERROR(__xludf.DUMMYFUNCTION("""COMPUTED_VALUE"""),691.0)</f>
        <v>691</v>
      </c>
      <c r="B695" s="7" t="str">
        <f>IFERROR(__xludf.DUMMYFUNCTION("""COMPUTED_VALUE"""),"vor 24 Tagen")</f>
        <v>vor 24 Tagen</v>
      </c>
      <c r="C695" s="7" t="str">
        <f>IFERROR(__xludf.DUMMYFUNCTION("""COMPUTED_VALUE"""),"Big Data Engineer (m/w/d)")</f>
        <v>Big Data Engineer (m/w/d)</v>
      </c>
      <c r="D695" s="7" t="str">
        <f>IFERROR(__xludf.DUMMYFUNCTION("""COMPUTED_VALUE"""),"Dresden")</f>
        <v>Dresden</v>
      </c>
      <c r="E695" s="7" t="str">
        <f>IFERROR(__xludf.DUMMYFUNCTION("""COMPUTED_VALUE"""),"LogMeIn")</f>
        <v>LogMeIn</v>
      </c>
      <c r="F695" s="7" t="str">
        <f>IFERROR(__xludf.DUMMYFUNCTION("""COMPUTED_VALUE"""),"None")</f>
        <v>None</v>
      </c>
      <c r="G695" s="7" t="str">
        <f>IFERROR(__xludf.DUMMYFUNCTION("""COMPUTED_VALUE"""),"No salary data")</f>
        <v>No salary data</v>
      </c>
      <c r="H695" s="7" t="str">
        <f>IFERROR(__xludf.DUMMYFUNCTION("""COMPUTED_VALUE"""),"No salary data")</f>
        <v>No salary data</v>
      </c>
      <c r="I695" s="7" t="str">
        <f>IFERROR(__xludf.DUMMYFUNCTION("""COMPUTED_VALUE"""),"No salary data")</f>
        <v>No salary data</v>
      </c>
      <c r="J695" s="7" t="str">
        <f>IFERROR(__xludf.DUMMYFUNCTION("""COMPUTED_VALUE"""),"Machine Learning, Agile")</f>
        <v>Machine Learning, Agile</v>
      </c>
      <c r="K695" s="7" t="str">
        <f>IFERROR(__xludf.DUMMYFUNCTION("""COMPUTED_VALUE"""),"No job type data")</f>
        <v>No job type data</v>
      </c>
      <c r="L695" s="7" t="str">
        <f>IFERROR(__xludf.DUMMYFUNCTION("""COMPUTED_VALUE"""),"None")</f>
        <v>None</v>
      </c>
      <c r="M695" s="7"/>
      <c r="N695" s="7"/>
      <c r="O695" s="7"/>
    </row>
    <row r="696">
      <c r="A696" s="29">
        <f>IFERROR(__xludf.DUMMYFUNCTION("""COMPUTED_VALUE"""),692.0)</f>
        <v>692</v>
      </c>
      <c r="B696" s="7" t="str">
        <f>IFERROR(__xludf.DUMMYFUNCTION("""COMPUTED_VALUE"""),"Vor mehr als 30 Tagen")</f>
        <v>Vor mehr als 30 Tagen</v>
      </c>
      <c r="C696" s="7" t="str">
        <f>IFERROR(__xludf.DUMMYFUNCTION("""COMPUTED_VALUE"""),"Team Lead Data Engineering &amp; Analytics")</f>
        <v>Team Lead Data Engineering &amp; Analytics</v>
      </c>
      <c r="D696" s="7" t="str">
        <f>IFERROR(__xludf.DUMMYFUNCTION("""COMPUTED_VALUE"""),"Home Office")</f>
        <v>Home Office</v>
      </c>
      <c r="E696" s="7" t="str">
        <f>IFERROR(__xludf.DUMMYFUNCTION("""COMPUTED_VALUE"""),"Userlane")</f>
        <v>Userlane</v>
      </c>
      <c r="F696" s="7" t="str">
        <f>IFERROR(__xludf.DUMMYFUNCTION("""COMPUTED_VALUE"""),"None")</f>
        <v>None</v>
      </c>
      <c r="G696" s="7" t="str">
        <f>IFERROR(__xludf.DUMMYFUNCTION("""COMPUTED_VALUE"""),"No salary data")</f>
        <v>No salary data</v>
      </c>
      <c r="H696" s="7" t="str">
        <f>IFERROR(__xludf.DUMMYFUNCTION("""COMPUTED_VALUE"""),"No salary data")</f>
        <v>No salary data</v>
      </c>
      <c r="I696" s="7" t="str">
        <f>IFERROR(__xludf.DUMMYFUNCTION("""COMPUTED_VALUE"""),"No salary data")</f>
        <v>No salary data</v>
      </c>
      <c r="J696" s="7" t="str">
        <f>IFERROR(__xludf.DUMMYFUNCTION("""COMPUTED_VALUE"""),"SQL, Excel")</f>
        <v>SQL, Excel</v>
      </c>
      <c r="K696" s="7" t="str">
        <f>IFERROR(__xludf.DUMMYFUNCTION("""COMPUTED_VALUE"""),"No job type data")</f>
        <v>No job type data</v>
      </c>
      <c r="L696" s="7" t="str">
        <f>IFERROR(__xludf.DUMMYFUNCTION("""COMPUTED_VALUE"""),"None")</f>
        <v>None</v>
      </c>
      <c r="M696" s="7"/>
      <c r="N696" s="7"/>
      <c r="O696" s="7"/>
    </row>
    <row r="697">
      <c r="A697" s="29">
        <f>IFERROR(__xludf.DUMMYFUNCTION("""COMPUTED_VALUE"""),693.0)</f>
        <v>693</v>
      </c>
      <c r="B697" s="7" t="str">
        <f>IFERROR(__xludf.DUMMYFUNCTION("""COMPUTED_VALUE"""),"vor 12 Tagen")</f>
        <v>vor 12 Tagen</v>
      </c>
      <c r="C697" s="7" t="str">
        <f>IFERROR(__xludf.DUMMYFUNCTION("""COMPUTED_VALUE"""),"Product Analyst (m/f/d)")</f>
        <v>Product Analyst (m/f/d)</v>
      </c>
      <c r="D697" s="7" t="str">
        <f>IFERROR(__xludf.DUMMYFUNCTION("""COMPUTED_VALUE"""),"Berlin")</f>
        <v>Berlin</v>
      </c>
      <c r="E697" s="7" t="str">
        <f>IFERROR(__xludf.DUMMYFUNCTION("""COMPUTED_VALUE"""),"Zenjob")</f>
        <v>Zenjob</v>
      </c>
      <c r="F697" s="7" t="str">
        <f>IFERROR(__xludf.DUMMYFUNCTION("""COMPUTED_VALUE"""),"None")</f>
        <v>None</v>
      </c>
      <c r="G697" s="7" t="str">
        <f>IFERROR(__xludf.DUMMYFUNCTION("""COMPUTED_VALUE"""),"No salary data")</f>
        <v>No salary data</v>
      </c>
      <c r="H697" s="7" t="str">
        <f>IFERROR(__xludf.DUMMYFUNCTION("""COMPUTED_VALUE"""),"No salary data")</f>
        <v>No salary data</v>
      </c>
      <c r="I697" s="7" t="str">
        <f>IFERROR(__xludf.DUMMYFUNCTION("""COMPUTED_VALUE"""),"No salary data")</f>
        <v>No salary data</v>
      </c>
      <c r="J697" s="7" t="str">
        <f>IFERROR(__xludf.DUMMYFUNCTION("""COMPUTED_VALUE"""),"Python, SQL, Statistic, Git")</f>
        <v>Python, SQL, Statistic, Git</v>
      </c>
      <c r="K697" s="7" t="str">
        <f>IFERROR(__xludf.DUMMYFUNCTION("""COMPUTED_VALUE"""),"Permanent")</f>
        <v>Permanent</v>
      </c>
      <c r="L697" s="7" t="str">
        <f>IFERROR(__xludf.DUMMYFUNCTION("""COMPUTED_VALUE"""),"3,8")</f>
        <v>3,8</v>
      </c>
      <c r="M697" s="7"/>
      <c r="N697" s="7"/>
      <c r="O697" s="7"/>
    </row>
    <row r="698">
      <c r="A698" s="29">
        <f>IFERROR(__xludf.DUMMYFUNCTION("""COMPUTED_VALUE"""),694.0)</f>
        <v>694</v>
      </c>
      <c r="B698" s="7" t="str">
        <f>IFERROR(__xludf.DUMMYFUNCTION("""COMPUTED_VALUE"""),"Vor mehr als 30 Tagen")</f>
        <v>Vor mehr als 30 Tagen</v>
      </c>
      <c r="C698" s="7" t="str">
        <f>IFERROR(__xludf.DUMMYFUNCTION("""COMPUTED_VALUE"""),"Business Data Architect (w/m/d)")</f>
        <v>Business Data Architect (w/m/d)</v>
      </c>
      <c r="D698" s="7" t="str">
        <f>IFERROR(__xludf.DUMMYFUNCTION("""COMPUTED_VALUE"""),"Igersheim")</f>
        <v>Igersheim</v>
      </c>
      <c r="E698" s="7" t="str">
        <f>IFERROR(__xludf.DUMMYFUNCTION("""COMPUTED_VALUE"""),"WITTENSTEIN SE")</f>
        <v>WITTENSTEIN SE</v>
      </c>
      <c r="F698" s="7" t="str">
        <f>IFERROR(__xludf.DUMMYFUNCTION("""COMPUTED_VALUE"""),"None")</f>
        <v>None</v>
      </c>
      <c r="G698" s="7" t="str">
        <f>IFERROR(__xludf.DUMMYFUNCTION("""COMPUTED_VALUE"""),"No salary data")</f>
        <v>No salary data</v>
      </c>
      <c r="H698" s="7" t="str">
        <f>IFERROR(__xludf.DUMMYFUNCTION("""COMPUTED_VALUE"""),"No salary data")</f>
        <v>No salary data</v>
      </c>
      <c r="I698" s="7" t="str">
        <f>IFERROR(__xludf.DUMMYFUNCTION("""COMPUTED_VALUE"""),"No salary data")</f>
        <v>No salary data</v>
      </c>
      <c r="J698" s="7" t="str">
        <f>IFERROR(__xludf.DUMMYFUNCTION("""COMPUTED_VALUE"""),"Excel")</f>
        <v>Excel</v>
      </c>
      <c r="K698" s="7" t="str">
        <f>IFERROR(__xludf.DUMMYFUNCTION("""COMPUTED_VALUE"""),"No job type data")</f>
        <v>No job type data</v>
      </c>
      <c r="L698" s="7" t="str">
        <f>IFERROR(__xludf.DUMMYFUNCTION("""COMPUTED_VALUE"""),"4,0")</f>
        <v>4,0</v>
      </c>
      <c r="M698" s="7"/>
      <c r="N698" s="7"/>
      <c r="O698" s="7"/>
    </row>
    <row r="699">
      <c r="A699" s="29">
        <f>IFERROR(__xludf.DUMMYFUNCTION("""COMPUTED_VALUE"""),695.0)</f>
        <v>695</v>
      </c>
      <c r="B699" s="7" t="str">
        <f>IFERROR(__xludf.DUMMYFUNCTION("""COMPUTED_VALUE"""),"Vor mehr als 30 Tagen")</f>
        <v>Vor mehr als 30 Tagen</v>
      </c>
      <c r="C699" s="7" t="str">
        <f>IFERROR(__xludf.DUMMYFUNCTION("""COMPUTED_VALUE"""),"Werkstudent IT Data &amp; Analytics / Data Integration (m/w/d)")</f>
        <v>Werkstudent IT Data &amp; Analytics / Data Integration (m/w/d)</v>
      </c>
      <c r="D699" s="7" t="str">
        <f>IFERROR(__xludf.DUMMYFUNCTION("""COMPUTED_VALUE"""),"München")</f>
        <v>München</v>
      </c>
      <c r="E699" s="7" t="str">
        <f>IFERROR(__xludf.DUMMYFUNCTION("""COMPUTED_VALUE"""),"Sky Deutschland")</f>
        <v>Sky Deutschland</v>
      </c>
      <c r="F699" s="7" t="str">
        <f>IFERROR(__xludf.DUMMYFUNCTION("""COMPUTED_VALUE"""),"None")</f>
        <v>None</v>
      </c>
      <c r="G699" s="7" t="str">
        <f>IFERROR(__xludf.DUMMYFUNCTION("""COMPUTED_VALUE"""),"No salary data")</f>
        <v>No salary data</v>
      </c>
      <c r="H699" s="7" t="str">
        <f>IFERROR(__xludf.DUMMYFUNCTION("""COMPUTED_VALUE"""),"No salary data")</f>
        <v>No salary data</v>
      </c>
      <c r="I699" s="7" t="str">
        <f>IFERROR(__xludf.DUMMYFUNCTION("""COMPUTED_VALUE"""),"No salary data")</f>
        <v>No salary data</v>
      </c>
      <c r="J699" s="7" t="str">
        <f>IFERROR(__xludf.DUMMYFUNCTION("""COMPUTED_VALUE"""),"SQL, Git")</f>
        <v>SQL, Git</v>
      </c>
      <c r="K699" s="7" t="str">
        <f>IFERROR(__xludf.DUMMYFUNCTION("""COMPUTED_VALUE"""),"No job type data")</f>
        <v>No job type data</v>
      </c>
      <c r="L699" s="7" t="str">
        <f>IFERROR(__xludf.DUMMYFUNCTION("""COMPUTED_VALUE"""),"3,6")</f>
        <v>3,6</v>
      </c>
      <c r="M699" s="7"/>
      <c r="N699" s="7"/>
      <c r="O699" s="7"/>
    </row>
    <row r="700">
      <c r="A700" s="29">
        <f>IFERROR(__xludf.DUMMYFUNCTION("""COMPUTED_VALUE"""),696.0)</f>
        <v>696</v>
      </c>
      <c r="B700" s="7" t="str">
        <f>IFERROR(__xludf.DUMMYFUNCTION("""COMPUTED_VALUE"""),"vor 6 Tagen")</f>
        <v>vor 6 Tagen</v>
      </c>
      <c r="C700" s="7" t="str">
        <f>IFERROR(__xludf.DUMMYFUNCTION("""COMPUTED_VALUE"""),"Data Center Technician (m/f/d)")</f>
        <v>Data Center Technician (m/f/d)</v>
      </c>
      <c r="D700" s="7" t="str">
        <f>IFERROR(__xludf.DUMMYFUNCTION("""COMPUTED_VALUE"""),"Frankfurt am Main")</f>
        <v>Frankfurt am Main</v>
      </c>
      <c r="E700" s="7" t="str">
        <f>IFERROR(__xludf.DUMMYFUNCTION("""COMPUTED_VALUE"""),"AVANTGARDE Experts")</f>
        <v>AVANTGARDE Experts</v>
      </c>
      <c r="F700" s="7" t="str">
        <f>IFERROR(__xludf.DUMMYFUNCTION("""COMPUTED_VALUE"""),"None")</f>
        <v>None</v>
      </c>
      <c r="G700" s="7" t="str">
        <f>IFERROR(__xludf.DUMMYFUNCTION("""COMPUTED_VALUE"""),"No salary data")</f>
        <v>No salary data</v>
      </c>
      <c r="H700" s="7" t="str">
        <f>IFERROR(__xludf.DUMMYFUNCTION("""COMPUTED_VALUE"""),"No salary data")</f>
        <v>No salary data</v>
      </c>
      <c r="I700" s="7" t="str">
        <f>IFERROR(__xludf.DUMMYFUNCTION("""COMPUTED_VALUE"""),"No salary data")</f>
        <v>No salary data</v>
      </c>
      <c r="J700" s="7"/>
      <c r="K700" s="7" t="str">
        <f>IFERROR(__xludf.DUMMYFUNCTION("""COMPUTED_VALUE"""),"No job type data")</f>
        <v>No job type data</v>
      </c>
      <c r="L700" s="7" t="str">
        <f>IFERROR(__xludf.DUMMYFUNCTION("""COMPUTED_VALUE"""),"4,2")</f>
        <v>4,2</v>
      </c>
      <c r="M700" s="7"/>
      <c r="N700" s="7"/>
      <c r="O700" s="7"/>
    </row>
    <row r="701">
      <c r="A701" s="29">
        <f>IFERROR(__xludf.DUMMYFUNCTION("""COMPUTED_VALUE"""),697.0)</f>
        <v>697</v>
      </c>
      <c r="B701" s="7" t="str">
        <f>IFERROR(__xludf.DUMMYFUNCTION("""COMPUTED_VALUE"""),"Vor mehr als 30 Tagen")</f>
        <v>Vor mehr als 30 Tagen</v>
      </c>
      <c r="C701" s="7" t="str">
        <f>IFERROR(__xludf.DUMMYFUNCTION("""COMPUTED_VALUE"""),"Data Program Owner (m/w/d)")</f>
        <v>Data Program Owner (m/w/d)</v>
      </c>
      <c r="D701" s="7" t="str">
        <f>IFERROR(__xludf.DUMMYFUNCTION("""COMPUTED_VALUE"""),"Berlin")</f>
        <v>Berlin</v>
      </c>
      <c r="E701" s="7" t="str">
        <f>IFERROR(__xludf.DUMMYFUNCTION("""COMPUTED_VALUE"""),"WBS Gruppe")</f>
        <v>WBS Gruppe</v>
      </c>
      <c r="F701" s="7" t="str">
        <f>IFERROR(__xludf.DUMMYFUNCTION("""COMPUTED_VALUE"""),"None")</f>
        <v>None</v>
      </c>
      <c r="G701" s="7" t="str">
        <f>IFERROR(__xludf.DUMMYFUNCTION("""COMPUTED_VALUE"""),"No salary data")</f>
        <v>No salary data</v>
      </c>
      <c r="H701" s="7" t="str">
        <f>IFERROR(__xludf.DUMMYFUNCTION("""COMPUTED_VALUE"""),"No salary data")</f>
        <v>No salary data</v>
      </c>
      <c r="I701" s="7" t="str">
        <f>IFERROR(__xludf.DUMMYFUNCTION("""COMPUTED_VALUE"""),"No salary data")</f>
        <v>No salary data</v>
      </c>
      <c r="J701" s="7" t="str">
        <f>IFERROR(__xludf.DUMMYFUNCTION("""COMPUTED_VALUE"""),"Python, SQL, Tableau, Machine Learning, Git")</f>
        <v>Python, SQL, Tableau, Machine Learning, Git</v>
      </c>
      <c r="K701" s="7" t="str">
        <f>IFERROR(__xludf.DUMMYFUNCTION("""COMPUTED_VALUE"""),"No job type data")</f>
        <v>No job type data</v>
      </c>
      <c r="L701" s="7" t="str">
        <f>IFERROR(__xludf.DUMMYFUNCTION("""COMPUTED_VALUE"""),"3,9")</f>
        <v>3,9</v>
      </c>
      <c r="M701" s="7"/>
      <c r="N701" s="7"/>
      <c r="O701" s="7"/>
    </row>
    <row r="702">
      <c r="A702" s="29">
        <f>IFERROR(__xludf.DUMMYFUNCTION("""COMPUTED_VALUE"""),698.0)</f>
        <v>698</v>
      </c>
      <c r="B702" s="7" t="str">
        <f>IFERROR(__xludf.DUMMYFUNCTION("""COMPUTED_VALUE"""),"vor 5 Tagen")</f>
        <v>vor 5 Tagen</v>
      </c>
      <c r="C702" s="7" t="str">
        <f>IFERROR(__xludf.DUMMYFUNCTION("""COMPUTED_VALUE"""),"Medizinischer Dokumentar / Data Manager (m/w/d)")</f>
        <v>Medizinischer Dokumentar / Data Manager (m/w/d)</v>
      </c>
      <c r="D702" s="7" t="str">
        <f>IFERROR(__xludf.DUMMYFUNCTION("""COMPUTED_VALUE"""),"Heidelberg")</f>
        <v>Heidelberg</v>
      </c>
      <c r="E702" s="7" t="str">
        <f>IFERROR(__xludf.DUMMYFUNCTION("""COMPUTED_VALUE"""),"Deutsches Krebsforschungszentrum")</f>
        <v>Deutsches Krebsforschungszentrum</v>
      </c>
      <c r="F702" s="7" t="str">
        <f>IFERROR(__xludf.DUMMYFUNCTION("""COMPUTED_VALUE"""),"None")</f>
        <v>None</v>
      </c>
      <c r="G702" s="7" t="str">
        <f>IFERROR(__xludf.DUMMYFUNCTION("""COMPUTED_VALUE"""),"No salary data")</f>
        <v>No salary data</v>
      </c>
      <c r="H702" s="7" t="str">
        <f>IFERROR(__xludf.DUMMYFUNCTION("""COMPUTED_VALUE"""),"No salary data")</f>
        <v>No salary data</v>
      </c>
      <c r="I702" s="7" t="str">
        <f>IFERROR(__xludf.DUMMYFUNCTION("""COMPUTED_VALUE"""),"No salary data")</f>
        <v>No salary data</v>
      </c>
      <c r="J702" s="7"/>
      <c r="K702" s="7" t="str">
        <f>IFERROR(__xludf.DUMMYFUNCTION("""COMPUTED_VALUE"""),"No job type data")</f>
        <v>No job type data</v>
      </c>
      <c r="L702" s="7" t="str">
        <f>IFERROR(__xludf.DUMMYFUNCTION("""COMPUTED_VALUE"""),"3,8")</f>
        <v>3,8</v>
      </c>
      <c r="M702" s="7"/>
      <c r="N702" s="7"/>
      <c r="O702" s="7"/>
    </row>
    <row r="703">
      <c r="A703" s="29">
        <f>IFERROR(__xludf.DUMMYFUNCTION("""COMPUTED_VALUE"""),699.0)</f>
        <v>699</v>
      </c>
      <c r="B703" s="7" t="str">
        <f>IFERROR(__xludf.DUMMYFUNCTION("""COMPUTED_VALUE"""),"Vor mehr als 30 Tagen")</f>
        <v>Vor mehr als 30 Tagen</v>
      </c>
      <c r="C703" s="7" t="str">
        <f>IFERROR(__xludf.DUMMYFUNCTION("""COMPUTED_VALUE"""),"Data Warehouse Analyst (m/w/d)")</f>
        <v>Data Warehouse Analyst (m/w/d)</v>
      </c>
      <c r="D703" s="7" t="str">
        <f>IFERROR(__xludf.DUMMYFUNCTION("""COMPUTED_VALUE"""),"Deutschland")</f>
        <v>Deutschland</v>
      </c>
      <c r="E703" s="7" t="str">
        <f>IFERROR(__xludf.DUMMYFUNCTION("""COMPUTED_VALUE"""),"IKOR AG")</f>
        <v>IKOR AG</v>
      </c>
      <c r="F703" s="7" t="str">
        <f>IFERROR(__xludf.DUMMYFUNCTION("""COMPUTED_VALUE"""),"None")</f>
        <v>None</v>
      </c>
      <c r="G703" s="7" t="str">
        <f>IFERROR(__xludf.DUMMYFUNCTION("""COMPUTED_VALUE"""),"No salary data")</f>
        <v>No salary data</v>
      </c>
      <c r="H703" s="7" t="str">
        <f>IFERROR(__xludf.DUMMYFUNCTION("""COMPUTED_VALUE"""),"No salary data")</f>
        <v>No salary data</v>
      </c>
      <c r="I703" s="7" t="str">
        <f>IFERROR(__xludf.DUMMYFUNCTION("""COMPUTED_VALUE"""),"No salary data")</f>
        <v>No salary data</v>
      </c>
      <c r="J703" s="7" t="str">
        <f>IFERROR(__xludf.DUMMYFUNCTION("""COMPUTED_VALUE"""),"Statistic")</f>
        <v>Statistic</v>
      </c>
      <c r="K703" s="7" t="str">
        <f>IFERROR(__xludf.DUMMYFUNCTION("""COMPUTED_VALUE"""),"No job type data")</f>
        <v>No job type data</v>
      </c>
      <c r="L703" s="7" t="str">
        <f>IFERROR(__xludf.DUMMYFUNCTION("""COMPUTED_VALUE"""),"None")</f>
        <v>None</v>
      </c>
      <c r="M703" s="7"/>
      <c r="N703" s="7"/>
      <c r="O703" s="7"/>
    </row>
    <row r="704">
      <c r="A704" s="29">
        <f>IFERROR(__xludf.DUMMYFUNCTION("""COMPUTED_VALUE"""),700.0)</f>
        <v>700</v>
      </c>
      <c r="B704" s="7" t="str">
        <f>IFERROR(__xludf.DUMMYFUNCTION("""COMPUTED_VALUE"""),"vor 13 Tagen")</f>
        <v>vor 13 Tagen</v>
      </c>
      <c r="C704" s="7" t="str">
        <f>IFERROR(__xludf.DUMMYFUNCTION("""COMPUTED_VALUE"""),"Specialist for Customs classification &amp; Master data analyst...")</f>
        <v>Specialist for Customs classification &amp; Master data analyst...</v>
      </c>
      <c r="D704" s="7" t="str">
        <f>IFERROR(__xludf.DUMMYFUNCTION("""COMPUTED_VALUE"""),"Jüchen")</f>
        <v>Jüchen</v>
      </c>
      <c r="E704" s="7" t="str">
        <f>IFERROR(__xludf.DUMMYFUNCTION("""COMPUTED_VALUE"""),"3M")</f>
        <v>3M</v>
      </c>
      <c r="F704" s="7" t="str">
        <f>IFERROR(__xludf.DUMMYFUNCTION("""COMPUTED_VALUE"""),"None")</f>
        <v>None</v>
      </c>
      <c r="G704" s="7" t="str">
        <f>IFERROR(__xludf.DUMMYFUNCTION("""COMPUTED_VALUE"""),"No salary data")</f>
        <v>No salary data</v>
      </c>
      <c r="H704" s="7" t="str">
        <f>IFERROR(__xludf.DUMMYFUNCTION("""COMPUTED_VALUE"""),"No salary data")</f>
        <v>No salary data</v>
      </c>
      <c r="I704" s="7" t="str">
        <f>IFERROR(__xludf.DUMMYFUNCTION("""COMPUTED_VALUE"""),"No salary data")</f>
        <v>No salary data</v>
      </c>
      <c r="J704" s="7" t="str">
        <f>IFERROR(__xludf.DUMMYFUNCTION("""COMPUTED_VALUE"""),"Excel")</f>
        <v>Excel</v>
      </c>
      <c r="K704" s="7" t="str">
        <f>IFERROR(__xludf.DUMMYFUNCTION("""COMPUTED_VALUE"""),"No job type data")</f>
        <v>No job type data</v>
      </c>
      <c r="L704" s="7" t="str">
        <f>IFERROR(__xludf.DUMMYFUNCTION("""COMPUTED_VALUE"""),"4,0")</f>
        <v>4,0</v>
      </c>
      <c r="M704" s="7"/>
      <c r="N704" s="7"/>
      <c r="O704" s="7"/>
    </row>
    <row r="705">
      <c r="A705" s="29">
        <f>IFERROR(__xludf.DUMMYFUNCTION("""COMPUTED_VALUE"""),701.0)</f>
        <v>701</v>
      </c>
      <c r="B705" s="7" t="str">
        <f>IFERROR(__xludf.DUMMYFUNCTION("""COMPUTED_VALUE"""),"vor 28 Tagen")</f>
        <v>vor 28 Tagen</v>
      </c>
      <c r="C705" s="7" t="str">
        <f>IFERROR(__xludf.DUMMYFUNCTION("""COMPUTED_VALUE"""),"Werkstudent (m/w/d) Data Intelligence Competence Center")</f>
        <v>Werkstudent (m/w/d) Data Intelligence Competence Center</v>
      </c>
      <c r="D705" s="7" t="str">
        <f>IFERROR(__xludf.DUMMYFUNCTION("""COMPUTED_VALUE"""),"Düsseldorf")</f>
        <v>Düsseldorf</v>
      </c>
      <c r="E705" s="7" t="str">
        <f>IFERROR(__xludf.DUMMYFUNCTION("""COMPUTED_VALUE"""),"1&amp;1 Versatel GmbH")</f>
        <v>1&amp;1 Versatel GmbH</v>
      </c>
      <c r="F705" s="7" t="str">
        <f>IFERROR(__xludf.DUMMYFUNCTION("""COMPUTED_VALUE"""),"None")</f>
        <v>None</v>
      </c>
      <c r="G705" s="7" t="str">
        <f>IFERROR(__xludf.DUMMYFUNCTION("""COMPUTED_VALUE"""),"No salary data")</f>
        <v>No salary data</v>
      </c>
      <c r="H705" s="7" t="str">
        <f>IFERROR(__xludf.DUMMYFUNCTION("""COMPUTED_VALUE"""),"No salary data")</f>
        <v>No salary data</v>
      </c>
      <c r="I705" s="7" t="str">
        <f>IFERROR(__xludf.DUMMYFUNCTION("""COMPUTED_VALUE"""),"No salary data")</f>
        <v>No salary data</v>
      </c>
      <c r="J705" s="7" t="str">
        <f>IFERROR(__xludf.DUMMYFUNCTION("""COMPUTED_VALUE"""),"Python, Git")</f>
        <v>Python, Git</v>
      </c>
      <c r="K705" s="7" t="str">
        <f>IFERROR(__xludf.DUMMYFUNCTION("""COMPUTED_VALUE"""),"No job type data")</f>
        <v>No job type data</v>
      </c>
      <c r="L705" s="7" t="str">
        <f>IFERROR(__xludf.DUMMYFUNCTION("""COMPUTED_VALUE"""),"None")</f>
        <v>None</v>
      </c>
      <c r="M705" s="7"/>
      <c r="N705" s="7"/>
      <c r="O705" s="7"/>
    </row>
    <row r="706">
      <c r="A706" s="29">
        <f>IFERROR(__xludf.DUMMYFUNCTION("""COMPUTED_VALUE"""),702.0)</f>
        <v>702</v>
      </c>
      <c r="B706" s="7" t="str">
        <f>IFERROR(__xludf.DUMMYFUNCTION("""COMPUTED_VALUE"""),"Vor mehr als 30 Tagen")</f>
        <v>Vor mehr als 30 Tagen</v>
      </c>
      <c r="C706" s="7" t="str">
        <f>IFERROR(__xludf.DUMMYFUNCTION("""COMPUTED_VALUE"""),"Scientist in Bioinformatics for Data Integration and Databas...")</f>
        <v>Scientist in Bioinformatics for Data Integration and Databas...</v>
      </c>
      <c r="D706" s="7" t="str">
        <f>IFERROR(__xludf.DUMMYFUNCTION("""COMPUTED_VALUE"""),"Berlin")</f>
        <v>Berlin</v>
      </c>
      <c r="E706" s="7" t="str">
        <f>IFERROR(__xludf.DUMMYFUNCTION("""COMPUTED_VALUE"""),"Alacris Theranostics")</f>
        <v>Alacris Theranostics</v>
      </c>
      <c r="F706" s="7" t="str">
        <f>IFERROR(__xludf.DUMMYFUNCTION("""COMPUTED_VALUE"""),"None")</f>
        <v>None</v>
      </c>
      <c r="G706" s="7" t="str">
        <f>IFERROR(__xludf.DUMMYFUNCTION("""COMPUTED_VALUE"""),"No salary data")</f>
        <v>No salary data</v>
      </c>
      <c r="H706" s="7" t="str">
        <f>IFERROR(__xludf.DUMMYFUNCTION("""COMPUTED_VALUE"""),"No salary data")</f>
        <v>No salary data</v>
      </c>
      <c r="I706" s="7" t="str">
        <f>IFERROR(__xludf.DUMMYFUNCTION("""COMPUTED_VALUE"""),"No salary data")</f>
        <v>No salary data</v>
      </c>
      <c r="J706" s="7" t="str">
        <f>IFERROR(__xludf.DUMMYFUNCTION("""COMPUTED_VALUE"""),"Python, SQL, Linux")</f>
        <v>Python, SQL, Linux</v>
      </c>
      <c r="K706" s="7" t="str">
        <f>IFERROR(__xludf.DUMMYFUNCTION("""COMPUTED_VALUE"""),"No job type data")</f>
        <v>No job type data</v>
      </c>
      <c r="L706" s="7" t="str">
        <f>IFERROR(__xludf.DUMMYFUNCTION("""COMPUTED_VALUE"""),"None")</f>
        <v>None</v>
      </c>
      <c r="M706" s="7"/>
      <c r="N706" s="7"/>
      <c r="O706" s="7"/>
    </row>
    <row r="707">
      <c r="A707" s="29">
        <f>IFERROR(__xludf.DUMMYFUNCTION("""COMPUTED_VALUE"""),703.0)</f>
        <v>703</v>
      </c>
      <c r="B707" s="7" t="str">
        <f>IFERROR(__xludf.DUMMYFUNCTION("""COMPUTED_VALUE"""),"Vor mehr als 30 Tagen")</f>
        <v>Vor mehr als 30 Tagen</v>
      </c>
      <c r="C707" s="7" t="str">
        <f>IFERROR(__xludf.DUMMYFUNCTION("""COMPUTED_VALUE"""),"Data Migration Consultant (DACH Region)")</f>
        <v>Data Migration Consultant (DACH Region)</v>
      </c>
      <c r="D707" s="7" t="str">
        <f>IFERROR(__xludf.DUMMYFUNCTION("""COMPUTED_VALUE"""),"Stuttgart")</f>
        <v>Stuttgart</v>
      </c>
      <c r="E707" s="7" t="str">
        <f>IFERROR(__xludf.DUMMYFUNCTION("""COMPUTED_VALUE"""),"SYNITI")</f>
        <v>SYNITI</v>
      </c>
      <c r="F707" s="7" t="str">
        <f>IFERROR(__xludf.DUMMYFUNCTION("""COMPUTED_VALUE"""),"None")</f>
        <v>None</v>
      </c>
      <c r="G707" s="7" t="str">
        <f>IFERROR(__xludf.DUMMYFUNCTION("""COMPUTED_VALUE"""),"No salary data")</f>
        <v>No salary data</v>
      </c>
      <c r="H707" s="7" t="str">
        <f>IFERROR(__xludf.DUMMYFUNCTION("""COMPUTED_VALUE"""),"No salary data")</f>
        <v>No salary data</v>
      </c>
      <c r="I707" s="7" t="str">
        <f>IFERROR(__xludf.DUMMYFUNCTION("""COMPUTED_VALUE"""),"No salary data")</f>
        <v>No salary data</v>
      </c>
      <c r="J707" s="7" t="str">
        <f>IFERROR(__xludf.DUMMYFUNCTION("""COMPUTED_VALUE"""),"SQL, Excel")</f>
        <v>SQL, Excel</v>
      </c>
      <c r="K707" s="7" t="str">
        <f>IFERROR(__xludf.DUMMYFUNCTION("""COMPUTED_VALUE"""),"No job type data")</f>
        <v>No job type data</v>
      </c>
      <c r="L707" s="7" t="str">
        <f>IFERROR(__xludf.DUMMYFUNCTION("""COMPUTED_VALUE"""),"None")</f>
        <v>None</v>
      </c>
      <c r="M707" s="7"/>
      <c r="N707" s="7"/>
      <c r="O707" s="7"/>
    </row>
    <row r="708">
      <c r="A708" s="29">
        <f>IFERROR(__xludf.DUMMYFUNCTION("""COMPUTED_VALUE"""),704.0)</f>
        <v>704</v>
      </c>
      <c r="B708" s="7" t="str">
        <f>IFERROR(__xludf.DUMMYFUNCTION("""COMPUTED_VALUE"""),"vor 11 Tagen")</f>
        <v>vor 11 Tagen</v>
      </c>
      <c r="C708" s="7" t="str">
        <f>IFERROR(__xludf.DUMMYFUNCTION("""COMPUTED_VALUE"""),"Business Intelligence Analyst (m/w/d)")</f>
        <v>Business Intelligence Analyst (m/w/d)</v>
      </c>
      <c r="D708" s="7" t="str">
        <f>IFERROR(__xludf.DUMMYFUNCTION("""COMPUTED_VALUE"""),"Ketzin")</f>
        <v>Ketzin</v>
      </c>
      <c r="E708" s="7" t="str">
        <f>IFERROR(__xludf.DUMMYFUNCTION("""COMPUTED_VALUE"""),"MOSOLF Logistics &amp; Services GmbH")</f>
        <v>MOSOLF Logistics &amp; Services GmbH</v>
      </c>
      <c r="F708" s="7" t="str">
        <f>IFERROR(__xludf.DUMMYFUNCTION("""COMPUTED_VALUE"""),"None")</f>
        <v>None</v>
      </c>
      <c r="G708" s="7" t="str">
        <f>IFERROR(__xludf.DUMMYFUNCTION("""COMPUTED_VALUE"""),"No salary data")</f>
        <v>No salary data</v>
      </c>
      <c r="H708" s="7" t="str">
        <f>IFERROR(__xludf.DUMMYFUNCTION("""COMPUTED_VALUE"""),"No salary data")</f>
        <v>No salary data</v>
      </c>
      <c r="I708" s="7" t="str">
        <f>IFERROR(__xludf.DUMMYFUNCTION("""COMPUTED_VALUE"""),"No salary data")</f>
        <v>No salary data</v>
      </c>
      <c r="J708" s="7"/>
      <c r="K708" s="7" t="str">
        <f>IFERROR(__xludf.DUMMYFUNCTION("""COMPUTED_VALUE"""),"No job type data")</f>
        <v>No job type data</v>
      </c>
      <c r="L708" s="7" t="str">
        <f>IFERROR(__xludf.DUMMYFUNCTION("""COMPUTED_VALUE"""),"None")</f>
        <v>None</v>
      </c>
      <c r="M708" s="7"/>
      <c r="N708" s="7"/>
      <c r="O708" s="7"/>
    </row>
    <row r="709">
      <c r="A709" s="29">
        <f>IFERROR(__xludf.DUMMYFUNCTION("""COMPUTED_VALUE"""),705.0)</f>
        <v>705</v>
      </c>
      <c r="B709" s="7" t="str">
        <f>IFERROR(__xludf.DUMMYFUNCTION("""COMPUTED_VALUE"""),"Vor mehr als 30 Tagen")</f>
        <v>Vor mehr als 30 Tagen</v>
      </c>
      <c r="C709" s="7" t="str">
        <f>IFERROR(__xludf.DUMMYFUNCTION("""COMPUTED_VALUE"""),"(Junior) Customer Data Scientist (m/w/d)")</f>
        <v>(Junior) Customer Data Scientist (m/w/d)</v>
      </c>
      <c r="D709" s="7" t="str">
        <f>IFERROR(__xludf.DUMMYFUNCTION("""COMPUTED_VALUE"""),"Köln")</f>
        <v>Köln</v>
      </c>
      <c r="E709" s="7" t="str">
        <f>IFERROR(__xludf.DUMMYFUNCTION("""COMPUTED_VALUE"""),"msg systems")</f>
        <v>msg systems</v>
      </c>
      <c r="F709" s="7" t="str">
        <f>IFERROR(__xludf.DUMMYFUNCTION("""COMPUTED_VALUE"""),"None")</f>
        <v>None</v>
      </c>
      <c r="G709" s="7" t="str">
        <f>IFERROR(__xludf.DUMMYFUNCTION("""COMPUTED_VALUE"""),"No salary data")</f>
        <v>No salary data</v>
      </c>
      <c r="H709" s="7" t="str">
        <f>IFERROR(__xludf.DUMMYFUNCTION("""COMPUTED_VALUE"""),"No salary data")</f>
        <v>No salary data</v>
      </c>
      <c r="I709" s="7" t="str">
        <f>IFERROR(__xludf.DUMMYFUNCTION("""COMPUTED_VALUE"""),"No salary data")</f>
        <v>No salary data</v>
      </c>
      <c r="J709" s="7"/>
      <c r="K709" s="7" t="str">
        <f>IFERROR(__xludf.DUMMYFUNCTION("""COMPUTED_VALUE"""),"No job type data")</f>
        <v>No job type data</v>
      </c>
      <c r="L709" s="7" t="str">
        <f>IFERROR(__xludf.DUMMYFUNCTION("""COMPUTED_VALUE"""),"4,6")</f>
        <v>4,6</v>
      </c>
      <c r="M709" s="7"/>
      <c r="N709" s="7"/>
      <c r="O709" s="7"/>
    </row>
    <row r="710">
      <c r="A710" s="29">
        <f>IFERROR(__xludf.DUMMYFUNCTION("""COMPUTED_VALUE"""),706.0)</f>
        <v>706</v>
      </c>
      <c r="B710" s="7" t="str">
        <f>IFERROR(__xludf.DUMMYFUNCTION("""COMPUTED_VALUE"""),"Vor mehr als 30 Tagen")</f>
        <v>Vor mehr als 30 Tagen</v>
      </c>
      <c r="C710" s="7" t="str">
        <f>IFERROR(__xludf.DUMMYFUNCTION("""COMPUTED_VALUE"""),"IT‐Berater (m/w/d) Data Integration BI, BigData und Cloud")</f>
        <v>IT‐Berater (m/w/d) Data Integration BI, BigData und Cloud</v>
      </c>
      <c r="D710" s="7" t="str">
        <f>IFERROR(__xludf.DUMMYFUNCTION("""COMPUTED_VALUE"""),"Frankfurt am Main")</f>
        <v>Frankfurt am Main</v>
      </c>
      <c r="E710" s="7" t="str">
        <f>IFERROR(__xludf.DUMMYFUNCTION("""COMPUTED_VALUE"""),"cimt ag")</f>
        <v>cimt ag</v>
      </c>
      <c r="F710" s="7" t="str">
        <f>IFERROR(__xludf.DUMMYFUNCTION("""COMPUTED_VALUE"""),"None")</f>
        <v>None</v>
      </c>
      <c r="G710" s="7" t="str">
        <f>IFERROR(__xludf.DUMMYFUNCTION("""COMPUTED_VALUE"""),"No salary data")</f>
        <v>No salary data</v>
      </c>
      <c r="H710" s="7" t="str">
        <f>IFERROR(__xludf.DUMMYFUNCTION("""COMPUTED_VALUE"""),"No salary data")</f>
        <v>No salary data</v>
      </c>
      <c r="I710" s="7" t="str">
        <f>IFERROR(__xludf.DUMMYFUNCTION("""COMPUTED_VALUE"""),"No salary data")</f>
        <v>No salary data</v>
      </c>
      <c r="J710" s="7" t="str">
        <f>IFERROR(__xludf.DUMMYFUNCTION("""COMPUTED_VALUE"""),"Python, SQL")</f>
        <v>Python, SQL</v>
      </c>
      <c r="K710" s="7" t="str">
        <f>IFERROR(__xludf.DUMMYFUNCTION("""COMPUTED_VALUE"""),"No job type data")</f>
        <v>No job type data</v>
      </c>
      <c r="L710" s="7" t="str">
        <f>IFERROR(__xludf.DUMMYFUNCTION("""COMPUTED_VALUE"""),"5,0")</f>
        <v>5,0</v>
      </c>
      <c r="M710" s="7"/>
      <c r="N710" s="7"/>
      <c r="O710" s="7"/>
    </row>
    <row r="711">
      <c r="A711" s="29">
        <f>IFERROR(__xludf.DUMMYFUNCTION("""COMPUTED_VALUE"""),707.0)</f>
        <v>707</v>
      </c>
      <c r="B711" s="7" t="str">
        <f>IFERROR(__xludf.DUMMYFUNCTION("""COMPUTED_VALUE"""),"vor 14 Tagen")</f>
        <v>vor 14 Tagen</v>
      </c>
      <c r="C711" s="7" t="str">
        <f>IFERROR(__xludf.DUMMYFUNCTION("""COMPUTED_VALUE"""),"Praktikant/in / oder Absolvent/in im Bereich Data Engineerin...")</f>
        <v>Praktikant/in / oder Absolvent/in im Bereich Data Engineerin...</v>
      </c>
      <c r="D711" s="7" t="str">
        <f>IFERROR(__xludf.DUMMYFUNCTION("""COMPUTED_VALUE"""),"Altendiez")</f>
        <v>Altendiez</v>
      </c>
      <c r="E711" s="7" t="str">
        <f>IFERROR(__xludf.DUMMYFUNCTION("""COMPUTED_VALUE"""),"HTP MOTORSPORT GmbH")</f>
        <v>HTP MOTORSPORT GmbH</v>
      </c>
      <c r="F711" s="7" t="str">
        <f>IFERROR(__xludf.DUMMYFUNCTION("""COMPUTED_VALUE"""),"None")</f>
        <v>None</v>
      </c>
      <c r="G711" s="7" t="str">
        <f>IFERROR(__xludf.DUMMYFUNCTION("""COMPUTED_VALUE"""),"No salary data")</f>
        <v>No salary data</v>
      </c>
      <c r="H711" s="7" t="str">
        <f>IFERROR(__xludf.DUMMYFUNCTION("""COMPUTED_VALUE"""),"No salary data")</f>
        <v>No salary data</v>
      </c>
      <c r="I711" s="7" t="str">
        <f>IFERROR(__xludf.DUMMYFUNCTION("""COMPUTED_VALUE"""),"No salary data")</f>
        <v>No salary data</v>
      </c>
      <c r="J711" s="7"/>
      <c r="K711" s="7" t="str">
        <f>IFERROR(__xludf.DUMMYFUNCTION("""COMPUTED_VALUE"""),"No job type data")</f>
        <v>No job type data</v>
      </c>
      <c r="L711" s="7" t="str">
        <f>IFERROR(__xludf.DUMMYFUNCTION("""COMPUTED_VALUE"""),"None")</f>
        <v>None</v>
      </c>
      <c r="M711" s="7"/>
      <c r="N711" s="7"/>
      <c r="O711" s="7"/>
    </row>
    <row r="712">
      <c r="A712" s="29">
        <f>IFERROR(__xludf.DUMMYFUNCTION("""COMPUTED_VALUE"""),708.0)</f>
        <v>708</v>
      </c>
      <c r="B712" s="7" t="str">
        <f>IFERROR(__xludf.DUMMYFUNCTION("""COMPUTED_VALUE"""),"Vor mehr als 30 Tagen")</f>
        <v>Vor mehr als 30 Tagen</v>
      </c>
      <c r="C712" s="7" t="str">
        <f>IFERROR(__xludf.DUMMYFUNCTION("""COMPUTED_VALUE"""),"Bachelor-/Master-Thesis “Die Business Intelligence Datenplat...")</f>
        <v>Bachelor-/Master-Thesis “Die Business Intelligence Datenplat...</v>
      </c>
      <c r="D712" s="7" t="str">
        <f>IFERROR(__xludf.DUMMYFUNCTION("""COMPUTED_VALUE"""),"Stuttgart")</f>
        <v>Stuttgart</v>
      </c>
      <c r="E712" s="7" t="str">
        <f>IFERROR(__xludf.DUMMYFUNCTION("""COMPUTED_VALUE"""),"Braincourt")</f>
        <v>Braincourt</v>
      </c>
      <c r="F712" s="7" t="str">
        <f>IFERROR(__xludf.DUMMYFUNCTION("""COMPUTED_VALUE"""),"None")</f>
        <v>None</v>
      </c>
      <c r="G712" s="7" t="str">
        <f>IFERROR(__xludf.DUMMYFUNCTION("""COMPUTED_VALUE"""),"No salary data")</f>
        <v>No salary data</v>
      </c>
      <c r="H712" s="7" t="str">
        <f>IFERROR(__xludf.DUMMYFUNCTION("""COMPUTED_VALUE"""),"No salary data")</f>
        <v>No salary data</v>
      </c>
      <c r="I712" s="7" t="str">
        <f>IFERROR(__xludf.DUMMYFUNCTION("""COMPUTED_VALUE"""),"No salary data")</f>
        <v>No salary data</v>
      </c>
      <c r="J712" s="7"/>
      <c r="K712" s="7" t="str">
        <f>IFERROR(__xludf.DUMMYFUNCTION("""COMPUTED_VALUE"""),"No job type data")</f>
        <v>No job type data</v>
      </c>
      <c r="L712" s="7" t="str">
        <f>IFERROR(__xludf.DUMMYFUNCTION("""COMPUTED_VALUE"""),"None")</f>
        <v>None</v>
      </c>
      <c r="M712" s="7"/>
      <c r="N712" s="7"/>
      <c r="O712" s="7"/>
    </row>
    <row r="713">
      <c r="A713" s="29">
        <f>IFERROR(__xludf.DUMMYFUNCTION("""COMPUTED_VALUE"""),709.0)</f>
        <v>709</v>
      </c>
      <c r="B713" s="7" t="str">
        <f>IFERROR(__xludf.DUMMYFUNCTION("""COMPUTED_VALUE"""),"Vor mehr als 30 Tagen")</f>
        <v>Vor mehr als 30 Tagen</v>
      </c>
      <c r="C713" s="7" t="str">
        <f>IFERROR(__xludf.DUMMYFUNCTION("""COMPUTED_VALUE"""),"Novel methods for leveraging modern data storage technologie...")</f>
        <v>Novel methods for leveraging modern data storage technologie...</v>
      </c>
      <c r="D713" s="7" t="str">
        <f>IFERROR(__xludf.DUMMYFUNCTION("""COMPUTED_VALUE"""),"Jena")</f>
        <v>Jena</v>
      </c>
      <c r="E713" s="7" t="str">
        <f>IFERROR(__xludf.DUMMYFUNCTION("""COMPUTED_VALUE"""),"DLR - Deutsches Zentrum für Luft- und Raumfahrt")</f>
        <v>DLR - Deutsches Zentrum für Luft- und Raumfahrt</v>
      </c>
      <c r="F713" s="7" t="str">
        <f>IFERROR(__xludf.DUMMYFUNCTION("""COMPUTED_VALUE"""),"None")</f>
        <v>None</v>
      </c>
      <c r="G713" s="7" t="str">
        <f>IFERROR(__xludf.DUMMYFUNCTION("""COMPUTED_VALUE"""),"No salary data")</f>
        <v>No salary data</v>
      </c>
      <c r="H713" s="7" t="str">
        <f>IFERROR(__xludf.DUMMYFUNCTION("""COMPUTED_VALUE"""),"No salary data")</f>
        <v>No salary data</v>
      </c>
      <c r="I713" s="7" t="str">
        <f>IFERROR(__xludf.DUMMYFUNCTION("""COMPUTED_VALUE"""),"No salary data")</f>
        <v>No salary data</v>
      </c>
      <c r="J713" s="7" t="str">
        <f>IFERROR(__xludf.DUMMYFUNCTION("""COMPUTED_VALUE"""),"Linux")</f>
        <v>Linux</v>
      </c>
      <c r="K713" s="7" t="str">
        <f>IFERROR(__xludf.DUMMYFUNCTION("""COMPUTED_VALUE"""),"No job type data")</f>
        <v>No job type data</v>
      </c>
      <c r="L713" s="7" t="str">
        <f>IFERROR(__xludf.DUMMYFUNCTION("""COMPUTED_VALUE"""),"4,3")</f>
        <v>4,3</v>
      </c>
      <c r="M713" s="7"/>
      <c r="N713" s="7"/>
      <c r="O713" s="7"/>
    </row>
    <row r="714">
      <c r="A714" s="29">
        <f>IFERROR(__xludf.DUMMYFUNCTION("""COMPUTED_VALUE"""),710.0)</f>
        <v>710</v>
      </c>
      <c r="B714" s="7" t="str">
        <f>IFERROR(__xludf.DUMMYFUNCTION("""COMPUTED_VALUE"""),"Vor mehr als 30 Tagen")</f>
        <v>Vor mehr als 30 Tagen</v>
      </c>
      <c r="C714" s="7" t="str">
        <f>IFERROR(__xludf.DUMMYFUNCTION("""COMPUTED_VALUE"""),"Data Analyst in Vollzeit (m/w /d)")</f>
        <v>Data Analyst in Vollzeit (m/w /d)</v>
      </c>
      <c r="D714" s="7" t="str">
        <f>IFERROR(__xludf.DUMMYFUNCTION("""COMPUTED_VALUE"""),"Erlangen")</f>
        <v>Erlangen</v>
      </c>
      <c r="E714" s="7" t="str">
        <f>IFERROR(__xludf.DUMMYFUNCTION("""COMPUTED_VALUE"""),"pension solutions group")</f>
        <v>pension solutions group</v>
      </c>
      <c r="F714" s="7" t="str">
        <f>IFERROR(__xludf.DUMMYFUNCTION("""COMPUTED_VALUE"""),"None")</f>
        <v>None</v>
      </c>
      <c r="G714" s="7" t="str">
        <f>IFERROR(__xludf.DUMMYFUNCTION("""COMPUTED_VALUE"""),"No salary data")</f>
        <v>No salary data</v>
      </c>
      <c r="H714" s="7" t="str">
        <f>IFERROR(__xludf.DUMMYFUNCTION("""COMPUTED_VALUE"""),"No salary data")</f>
        <v>No salary data</v>
      </c>
      <c r="I714" s="7" t="str">
        <f>IFERROR(__xludf.DUMMYFUNCTION("""COMPUTED_VALUE"""),"No salary data")</f>
        <v>No salary data</v>
      </c>
      <c r="J714" s="7" t="str">
        <f>IFERROR(__xludf.DUMMYFUNCTION("""COMPUTED_VALUE"""),"Python, Git")</f>
        <v>Python, Git</v>
      </c>
      <c r="K714" s="7" t="str">
        <f>IFERROR(__xludf.DUMMYFUNCTION("""COMPUTED_VALUE"""),"No job type data")</f>
        <v>No job type data</v>
      </c>
      <c r="L714" s="7" t="str">
        <f>IFERROR(__xludf.DUMMYFUNCTION("""COMPUTED_VALUE"""),"None")</f>
        <v>None</v>
      </c>
      <c r="M714" s="7"/>
      <c r="N714" s="7"/>
      <c r="O714" s="7"/>
    </row>
    <row r="715">
      <c r="A715" s="29">
        <f>IFERROR(__xludf.DUMMYFUNCTION("""COMPUTED_VALUE"""),711.0)</f>
        <v>711</v>
      </c>
      <c r="B715" s="7" t="str">
        <f>IFERROR(__xludf.DUMMYFUNCTION("""COMPUTED_VALUE"""),"Vor mehr als 30 Tagen")</f>
        <v>Vor mehr als 30 Tagen</v>
      </c>
      <c r="C715" s="7" t="str">
        <f>IFERROR(__xludf.DUMMYFUNCTION("""COMPUTED_VALUE"""),"Consultant (m/w/d) Data Analytics &amp; Künstliche Intelligenz")</f>
        <v>Consultant (m/w/d) Data Analytics &amp; Künstliche Intelligenz</v>
      </c>
      <c r="D715" s="7" t="str">
        <f>IFERROR(__xludf.DUMMYFUNCTION("""COMPUTED_VALUE"""),"Berlin")</f>
        <v>Berlin</v>
      </c>
      <c r="E715" s="7" t="str">
        <f>IFERROR(__xludf.DUMMYFUNCTION("""COMPUTED_VALUE"""),"Bundesdruckerei")</f>
        <v>Bundesdruckerei</v>
      </c>
      <c r="F715" s="7" t="str">
        <f>IFERROR(__xludf.DUMMYFUNCTION("""COMPUTED_VALUE"""),"None")</f>
        <v>None</v>
      </c>
      <c r="G715" s="7" t="str">
        <f>IFERROR(__xludf.DUMMYFUNCTION("""COMPUTED_VALUE"""),"No salary data")</f>
        <v>No salary data</v>
      </c>
      <c r="H715" s="7" t="str">
        <f>IFERROR(__xludf.DUMMYFUNCTION("""COMPUTED_VALUE"""),"No salary data")</f>
        <v>No salary data</v>
      </c>
      <c r="I715" s="7" t="str">
        <f>IFERROR(__xludf.DUMMYFUNCTION("""COMPUTED_VALUE"""),"No salary data")</f>
        <v>No salary data</v>
      </c>
      <c r="J715" s="7" t="str">
        <f>IFERROR(__xludf.DUMMYFUNCTION("""COMPUTED_VALUE"""),"Python, Git")</f>
        <v>Python, Git</v>
      </c>
      <c r="K715" s="7" t="str">
        <f>IFERROR(__xludf.DUMMYFUNCTION("""COMPUTED_VALUE"""),"No job type data")</f>
        <v>No job type data</v>
      </c>
      <c r="L715" s="7" t="str">
        <f>IFERROR(__xludf.DUMMYFUNCTION("""COMPUTED_VALUE"""),"None")</f>
        <v>None</v>
      </c>
      <c r="M715" s="7"/>
      <c r="N715" s="7"/>
      <c r="O715" s="7"/>
    </row>
    <row r="716">
      <c r="A716" s="29">
        <f>IFERROR(__xludf.DUMMYFUNCTION("""COMPUTED_VALUE"""),712.0)</f>
        <v>712</v>
      </c>
      <c r="B716" s="7" t="str">
        <f>IFERROR(__xludf.DUMMYFUNCTION("""COMPUTED_VALUE"""),"vor 4 Tagen")</f>
        <v>vor 4 Tagen</v>
      </c>
      <c r="C716" s="7" t="str">
        <f>IFERROR(__xludf.DUMMYFUNCTION("""COMPUTED_VALUE"""),"Interdisciplinary PhD Positions in Data Science (f/m/d)")</f>
        <v>Interdisciplinary PhD Positions in Data Science (f/m/d)</v>
      </c>
      <c r="D716" s="7" t="str">
        <f>IFERROR(__xludf.DUMMYFUNCTION("""COMPUTED_VALUE"""),"Hamburg")</f>
        <v>Hamburg</v>
      </c>
      <c r="E716" s="7" t="str">
        <f>IFERROR(__xludf.DUMMYFUNCTION("""COMPUTED_VALUE"""),"Data Science in Hamburg - Helmholtz Graduate Schoo...")</f>
        <v>Data Science in Hamburg - Helmholtz Graduate Schoo...</v>
      </c>
      <c r="F716" s="7" t="str">
        <f>IFERROR(__xludf.DUMMYFUNCTION("""COMPUTED_VALUE"""),"None")</f>
        <v>None</v>
      </c>
      <c r="G716" s="7" t="str">
        <f>IFERROR(__xludf.DUMMYFUNCTION("""COMPUTED_VALUE"""),"No salary data")</f>
        <v>No salary data</v>
      </c>
      <c r="H716" s="7" t="str">
        <f>IFERROR(__xludf.DUMMYFUNCTION("""COMPUTED_VALUE"""),"No salary data")</f>
        <v>No salary data</v>
      </c>
      <c r="I716" s="7" t="str">
        <f>IFERROR(__xludf.DUMMYFUNCTION("""COMPUTED_VALUE"""),"No salary data")</f>
        <v>No salary data</v>
      </c>
      <c r="J716" s="7" t="str">
        <f>IFERROR(__xludf.DUMMYFUNCTION("""COMPUTED_VALUE"""),"Excel")</f>
        <v>Excel</v>
      </c>
      <c r="K716" s="7" t="str">
        <f>IFERROR(__xludf.DUMMYFUNCTION("""COMPUTED_VALUE"""),"Contract")</f>
        <v>Contract</v>
      </c>
      <c r="L716" s="7" t="str">
        <f>IFERROR(__xludf.DUMMYFUNCTION("""COMPUTED_VALUE"""),"None")</f>
        <v>None</v>
      </c>
      <c r="M716" s="7"/>
      <c r="N716" s="7"/>
      <c r="O716" s="7"/>
    </row>
    <row r="717">
      <c r="A717" s="29">
        <f>IFERROR(__xludf.DUMMYFUNCTION("""COMPUTED_VALUE"""),713.0)</f>
        <v>713</v>
      </c>
      <c r="B717" s="7" t="str">
        <f>IFERROR(__xludf.DUMMYFUNCTION("""COMPUTED_VALUE"""),"vor 2 Tagen")</f>
        <v>vor 2 Tagen</v>
      </c>
      <c r="C717" s="7" t="str">
        <f>IFERROR(__xludf.DUMMYFUNCTION("""COMPUTED_VALUE"""),"Mandatory internship - Combining FEA and Machine Learning")</f>
        <v>Mandatory internship - Combining FEA and Machine Learning</v>
      </c>
      <c r="D717" s="7" t="str">
        <f>IFERROR(__xludf.DUMMYFUNCTION("""COMPUTED_VALUE"""),"Hannover")</f>
        <v>Hannover</v>
      </c>
      <c r="E717" s="7" t="str">
        <f>IFERROR(__xludf.DUMMYFUNCTION("""COMPUTED_VALUE"""),"Continental AG")</f>
        <v>Continental AG</v>
      </c>
      <c r="F717" s="7" t="str">
        <f>IFERROR(__xludf.DUMMYFUNCTION("""COMPUTED_VALUE"""),"None")</f>
        <v>None</v>
      </c>
      <c r="G717" s="7" t="str">
        <f>IFERROR(__xludf.DUMMYFUNCTION("""COMPUTED_VALUE"""),"No salary data")</f>
        <v>No salary data</v>
      </c>
      <c r="H717" s="7" t="str">
        <f>IFERROR(__xludf.DUMMYFUNCTION("""COMPUTED_VALUE"""),"No salary data")</f>
        <v>No salary data</v>
      </c>
      <c r="I717" s="7" t="str">
        <f>IFERROR(__xludf.DUMMYFUNCTION("""COMPUTED_VALUE"""),"No salary data")</f>
        <v>No salary data</v>
      </c>
      <c r="J717" s="7" t="str">
        <f>IFERROR(__xludf.DUMMYFUNCTION("""COMPUTED_VALUE"""),"Python, Machine Learning")</f>
        <v>Python, Machine Learning</v>
      </c>
      <c r="K717" s="7" t="str">
        <f>IFERROR(__xludf.DUMMYFUNCTION("""COMPUTED_VALUE"""),"Internship")</f>
        <v>Internship</v>
      </c>
      <c r="L717" s="7" t="str">
        <f>IFERROR(__xludf.DUMMYFUNCTION("""COMPUTED_VALUE"""),"4,0")</f>
        <v>4,0</v>
      </c>
      <c r="M717" s="7"/>
      <c r="N717" s="7"/>
      <c r="O717" s="7"/>
    </row>
    <row r="718">
      <c r="A718" s="29">
        <f>IFERROR(__xludf.DUMMYFUNCTION("""COMPUTED_VALUE"""),714.0)</f>
        <v>714</v>
      </c>
      <c r="B718" s="7" t="str">
        <f>IFERROR(__xludf.DUMMYFUNCTION("""COMPUTED_VALUE"""),"vor 24 Tagen")</f>
        <v>vor 24 Tagen</v>
      </c>
      <c r="C718" s="7" t="str">
        <f>IFERROR(__xludf.DUMMYFUNCTION("""COMPUTED_VALUE"""),"Data Analyst - 360° (m/w/d)")</f>
        <v>Data Analyst - 360° (m/w/d)</v>
      </c>
      <c r="D718" s="7" t="str">
        <f>IFERROR(__xludf.DUMMYFUNCTION("""COMPUTED_VALUE"""),"Hamburg")</f>
        <v>Hamburg</v>
      </c>
      <c r="E718" s="7" t="str">
        <f>IFERROR(__xludf.DUMMYFUNCTION("""COMPUTED_VALUE"""),"ABOUT YOU GmbH")</f>
        <v>ABOUT YOU GmbH</v>
      </c>
      <c r="F718" s="7" t="str">
        <f>IFERROR(__xludf.DUMMYFUNCTION("""COMPUTED_VALUE"""),"None")</f>
        <v>None</v>
      </c>
      <c r="G718" s="7" t="str">
        <f>IFERROR(__xludf.DUMMYFUNCTION("""COMPUTED_VALUE"""),"No salary data")</f>
        <v>No salary data</v>
      </c>
      <c r="H718" s="7" t="str">
        <f>IFERROR(__xludf.DUMMYFUNCTION("""COMPUTED_VALUE"""),"No salary data")</f>
        <v>No salary data</v>
      </c>
      <c r="I718" s="7" t="str">
        <f>IFERROR(__xludf.DUMMYFUNCTION("""COMPUTED_VALUE"""),"No salary data")</f>
        <v>No salary data</v>
      </c>
      <c r="J718" s="7" t="str">
        <f>IFERROR(__xludf.DUMMYFUNCTION("""COMPUTED_VALUE"""),"Python, SQL, Excel, Linux, Agile")</f>
        <v>Python, SQL, Excel, Linux, Agile</v>
      </c>
      <c r="K718" s="7" t="str">
        <f>IFERROR(__xludf.DUMMYFUNCTION("""COMPUTED_VALUE"""),"No job type data")</f>
        <v>No job type data</v>
      </c>
      <c r="L718" s="7" t="str">
        <f>IFERROR(__xludf.DUMMYFUNCTION("""COMPUTED_VALUE"""),"None")</f>
        <v>None</v>
      </c>
      <c r="M718" s="7"/>
      <c r="N718" s="7"/>
      <c r="O718" s="7"/>
    </row>
    <row r="719">
      <c r="A719" s="29">
        <f>IFERROR(__xludf.DUMMYFUNCTION("""COMPUTED_VALUE"""),715.0)</f>
        <v>715</v>
      </c>
      <c r="B719" s="7" t="str">
        <f>IFERROR(__xludf.DUMMYFUNCTION("""COMPUTED_VALUE"""),"Vor mehr als 30 Tagen")</f>
        <v>Vor mehr als 30 Tagen</v>
      </c>
      <c r="C719" s="7" t="str">
        <f>IFERROR(__xludf.DUMMYFUNCTION("""COMPUTED_VALUE"""),"Business Intelligence Consultant (m/w/d) Schwerpunkt Datenba...")</f>
        <v>Business Intelligence Consultant (m/w/d) Schwerpunkt Datenba...</v>
      </c>
      <c r="D719" s="7" t="str">
        <f>IFERROR(__xludf.DUMMYFUNCTION("""COMPUTED_VALUE"""),"Deutschland")</f>
        <v>Deutschland</v>
      </c>
      <c r="E719" s="7" t="str">
        <f>IFERROR(__xludf.DUMMYFUNCTION("""COMPUTED_VALUE"""),"mayato GmbH")</f>
        <v>mayato GmbH</v>
      </c>
      <c r="F719" s="7" t="str">
        <f>IFERROR(__xludf.DUMMYFUNCTION("""COMPUTED_VALUE"""),"3,068 € pro Monat")</f>
        <v>3,068 € pro Monat</v>
      </c>
      <c r="G719" s="7">
        <f>IFERROR(__xludf.DUMMYFUNCTION("""COMPUTED_VALUE"""),3068.0)</f>
        <v>3068</v>
      </c>
      <c r="H719" s="7" t="str">
        <f>IFERROR(__xludf.DUMMYFUNCTION("""COMPUTED_VALUE"""),"Monat")</f>
        <v>Monat</v>
      </c>
      <c r="I719" s="7">
        <f>IFERROR(__xludf.DUMMYFUNCTION("""COMPUTED_VALUE"""),36816.0)</f>
        <v>36816</v>
      </c>
      <c r="J719" s="7"/>
      <c r="K719" s="7" t="str">
        <f>IFERROR(__xludf.DUMMYFUNCTION("""COMPUTED_VALUE"""),"No job type data")</f>
        <v>No job type data</v>
      </c>
      <c r="L719" s="7" t="str">
        <f>IFERROR(__xludf.DUMMYFUNCTION("""COMPUTED_VALUE"""),"4,8")</f>
        <v>4,8</v>
      </c>
      <c r="M719" s="7"/>
      <c r="N719" s="7"/>
      <c r="O719" s="7"/>
    </row>
    <row r="720">
      <c r="A720" s="29">
        <f>IFERROR(__xludf.DUMMYFUNCTION("""COMPUTED_VALUE"""),716.0)</f>
        <v>716</v>
      </c>
      <c r="B720" s="7" t="str">
        <f>IFERROR(__xludf.DUMMYFUNCTION("""COMPUTED_VALUE"""),"vor 24 Tagen")</f>
        <v>vor 24 Tagen</v>
      </c>
      <c r="C720" s="7" t="str">
        <f>IFERROR(__xludf.DUMMYFUNCTION("""COMPUTED_VALUE"""),"Database and Business Intelligence Software Developer (m/w/d...")</f>
        <v>Database and Business Intelligence Software Developer (m/w/d...</v>
      </c>
      <c r="D720" s="7" t="str">
        <f>IFERROR(__xludf.DUMMYFUNCTION("""COMPUTED_VALUE"""),"Ulm")</f>
        <v>Ulm</v>
      </c>
      <c r="E720" s="7" t="str">
        <f>IFERROR(__xludf.DUMMYFUNCTION("""COMPUTED_VALUE"""),"Trumpf")</f>
        <v>Trumpf</v>
      </c>
      <c r="F720" s="7" t="str">
        <f>IFERROR(__xludf.DUMMYFUNCTION("""COMPUTED_VALUE"""),"None")</f>
        <v>None</v>
      </c>
      <c r="G720" s="7" t="str">
        <f>IFERROR(__xludf.DUMMYFUNCTION("""COMPUTED_VALUE"""),"No salary data")</f>
        <v>No salary data</v>
      </c>
      <c r="H720" s="7" t="str">
        <f>IFERROR(__xludf.DUMMYFUNCTION("""COMPUTED_VALUE"""),"No salary data")</f>
        <v>No salary data</v>
      </c>
      <c r="I720" s="7" t="str">
        <f>IFERROR(__xludf.DUMMYFUNCTION("""COMPUTED_VALUE"""),"No salary data")</f>
        <v>No salary data</v>
      </c>
      <c r="J720" s="7" t="str">
        <f>IFERROR(__xludf.DUMMYFUNCTION("""COMPUTED_VALUE"""),"Python, SQL")</f>
        <v>Python, SQL</v>
      </c>
      <c r="K720" s="7" t="str">
        <f>IFERROR(__xludf.DUMMYFUNCTION("""COMPUTED_VALUE"""),"No job type data")</f>
        <v>No job type data</v>
      </c>
      <c r="L720" s="7" t="str">
        <f>IFERROR(__xludf.DUMMYFUNCTION("""COMPUTED_VALUE"""),"3,9")</f>
        <v>3,9</v>
      </c>
      <c r="M720" s="7"/>
      <c r="N720" s="7"/>
      <c r="O720" s="7"/>
    </row>
    <row r="721">
      <c r="A721" s="29">
        <f>IFERROR(__xludf.DUMMYFUNCTION("""COMPUTED_VALUE"""),717.0)</f>
        <v>717</v>
      </c>
      <c r="B721" s="7" t="str">
        <f>IFERROR(__xludf.DUMMYFUNCTION("""COMPUTED_VALUE"""),"vor 24 Tagen")</f>
        <v>vor 24 Tagen</v>
      </c>
      <c r="C721" s="7" t="str">
        <f>IFERROR(__xludf.DUMMYFUNCTION("""COMPUTED_VALUE"""),"Quality Analyst Data Integrity (m/w/d)")</f>
        <v>Quality Analyst Data Integrity (m/w/d)</v>
      </c>
      <c r="D721" s="7" t="str">
        <f>IFERROR(__xludf.DUMMYFUNCTION("""COMPUTED_VALUE"""),"Ulm")</f>
        <v>Ulm</v>
      </c>
      <c r="E721" s="7" t="str">
        <f>IFERROR(__xludf.DUMMYFUNCTION("""COMPUTED_VALUE"""),"Teva Pharmaceuticals")</f>
        <v>Teva Pharmaceuticals</v>
      </c>
      <c r="F721" s="7" t="str">
        <f>IFERROR(__xludf.DUMMYFUNCTION("""COMPUTED_VALUE"""),"None")</f>
        <v>None</v>
      </c>
      <c r="G721" s="7" t="str">
        <f>IFERROR(__xludf.DUMMYFUNCTION("""COMPUTED_VALUE"""),"No salary data")</f>
        <v>No salary data</v>
      </c>
      <c r="H721" s="7" t="str">
        <f>IFERROR(__xludf.DUMMYFUNCTION("""COMPUTED_VALUE"""),"No salary data")</f>
        <v>No salary data</v>
      </c>
      <c r="I721" s="7" t="str">
        <f>IFERROR(__xludf.DUMMYFUNCTION("""COMPUTED_VALUE"""),"No salary data")</f>
        <v>No salary data</v>
      </c>
      <c r="J721" s="7"/>
      <c r="K721" s="7" t="str">
        <f>IFERROR(__xludf.DUMMYFUNCTION("""COMPUTED_VALUE"""),"No job type data")</f>
        <v>No job type data</v>
      </c>
      <c r="L721" s="7" t="str">
        <f>IFERROR(__xludf.DUMMYFUNCTION("""COMPUTED_VALUE"""),"3,7")</f>
        <v>3,7</v>
      </c>
      <c r="M721" s="7"/>
      <c r="N721" s="7"/>
      <c r="O721" s="7"/>
    </row>
    <row r="722">
      <c r="A722" s="29">
        <f>IFERROR(__xludf.DUMMYFUNCTION("""COMPUTED_VALUE"""),718.0)</f>
        <v>718</v>
      </c>
      <c r="B722" s="7" t="str">
        <f>IFERROR(__xludf.DUMMYFUNCTION("""COMPUTED_VALUE"""),"vor 4 Tagen")</f>
        <v>vor 4 Tagen</v>
      </c>
      <c r="C722" s="7" t="str">
        <f>IFERROR(__xludf.DUMMYFUNCTION("""COMPUTED_VALUE"""),"Venture Analyst")</f>
        <v>Venture Analyst</v>
      </c>
      <c r="D722" s="7" t="str">
        <f>IFERROR(__xludf.DUMMYFUNCTION("""COMPUTED_VALUE"""),"Berlin")</f>
        <v>Berlin</v>
      </c>
      <c r="E722" s="7" t="str">
        <f>IFERROR(__xludf.DUMMYFUNCTION("""COMPUTED_VALUE"""),"GlassDollar")</f>
        <v>GlassDollar</v>
      </c>
      <c r="F722" s="7" t="str">
        <f>IFERROR(__xludf.DUMMYFUNCTION("""COMPUTED_VALUE"""),"None")</f>
        <v>None</v>
      </c>
      <c r="G722" s="7" t="str">
        <f>IFERROR(__xludf.DUMMYFUNCTION("""COMPUTED_VALUE"""),"No salary data")</f>
        <v>No salary data</v>
      </c>
      <c r="H722" s="7" t="str">
        <f>IFERROR(__xludf.DUMMYFUNCTION("""COMPUTED_VALUE"""),"No salary data")</f>
        <v>No salary data</v>
      </c>
      <c r="I722" s="7" t="str">
        <f>IFERROR(__xludf.DUMMYFUNCTION("""COMPUTED_VALUE"""),"No salary data")</f>
        <v>No salary data</v>
      </c>
      <c r="J722" s="7"/>
      <c r="K722" s="7" t="str">
        <f>IFERROR(__xludf.DUMMYFUNCTION("""COMPUTED_VALUE"""),"No job type data")</f>
        <v>No job type data</v>
      </c>
      <c r="L722" s="7" t="str">
        <f>IFERROR(__xludf.DUMMYFUNCTION("""COMPUTED_VALUE"""),"None")</f>
        <v>None</v>
      </c>
      <c r="M722" s="7"/>
      <c r="N722" s="7"/>
      <c r="O722" s="7"/>
    </row>
    <row r="723">
      <c r="A723" s="29">
        <f>IFERROR(__xludf.DUMMYFUNCTION("""COMPUTED_VALUE"""),719.0)</f>
        <v>719</v>
      </c>
      <c r="B723" s="7" t="str">
        <f>IFERROR(__xludf.DUMMYFUNCTION("""COMPUTED_VALUE"""),"vor 4 Tagen")</f>
        <v>vor 4 Tagen</v>
      </c>
      <c r="C723" s="7" t="str">
        <f>IFERROR(__xludf.DUMMYFUNCTION("""COMPUTED_VALUE"""),"Program Analyst")</f>
        <v>Program Analyst</v>
      </c>
      <c r="D723" s="7" t="str">
        <f>IFERROR(__xludf.DUMMYFUNCTION("""COMPUTED_VALUE"""),"Hohenfels")</f>
        <v>Hohenfels</v>
      </c>
      <c r="E723" s="7" t="str">
        <f>IFERROR(__xludf.DUMMYFUNCTION("""COMPUTED_VALUE"""),"US Department of the Army")</f>
        <v>US Department of the Army</v>
      </c>
      <c r="F723" s="7" t="str">
        <f>IFERROR(__xludf.DUMMYFUNCTION("""COMPUTED_VALUE"""),"55,204 € - 71,764 € pro Jahr")</f>
        <v>55,204 € - 71,764 € pro Jahr</v>
      </c>
      <c r="G723" s="7">
        <f>IFERROR(__xludf.DUMMYFUNCTION("""COMPUTED_VALUE"""),63484.0)</f>
        <v>63484</v>
      </c>
      <c r="H723" s="7" t="str">
        <f>IFERROR(__xludf.DUMMYFUNCTION("""COMPUTED_VALUE"""),"Jahr")</f>
        <v>Jahr</v>
      </c>
      <c r="I723" s="7">
        <f>IFERROR(__xludf.DUMMYFUNCTION("""COMPUTED_VALUE"""),63484.0)</f>
        <v>63484</v>
      </c>
      <c r="J723" s="7"/>
      <c r="K723" s="7" t="str">
        <f>IFERROR(__xludf.DUMMYFUNCTION("""COMPUTED_VALUE"""),"Permanent")</f>
        <v>Permanent</v>
      </c>
      <c r="L723" s="7" t="str">
        <f>IFERROR(__xludf.DUMMYFUNCTION("""COMPUTED_VALUE"""),"4,3")</f>
        <v>4,3</v>
      </c>
      <c r="M723" s="7"/>
      <c r="N723" s="7"/>
      <c r="O723" s="7"/>
    </row>
    <row r="724">
      <c r="A724" s="29">
        <f>IFERROR(__xludf.DUMMYFUNCTION("""COMPUTED_VALUE"""),720.0)</f>
        <v>720</v>
      </c>
      <c r="B724" s="7" t="str">
        <f>IFERROR(__xludf.DUMMYFUNCTION("""COMPUTED_VALUE"""),"Vor mehr als 30 Tagen")</f>
        <v>Vor mehr als 30 Tagen</v>
      </c>
      <c r="C724" s="7" t="str">
        <f>IFERROR(__xludf.DUMMYFUNCTION("""COMPUTED_VALUE"""),"DATA ANALYST")</f>
        <v>DATA ANALYST</v>
      </c>
      <c r="D724" s="7" t="str">
        <f>IFERROR(__xludf.DUMMYFUNCTION("""COMPUTED_VALUE"""),"Berlin")</f>
        <v>Berlin</v>
      </c>
      <c r="E724" s="7" t="str">
        <f>IFERROR(__xludf.DUMMYFUNCTION("""COMPUTED_VALUE"""),"Dynamic Search Solutions")</f>
        <v>Dynamic Search Solutions</v>
      </c>
      <c r="F724" s="7" t="str">
        <f>IFERROR(__xludf.DUMMYFUNCTION("""COMPUTED_VALUE"""),"40,000 € - 50,000 € pro Jahr")</f>
        <v>40,000 € - 50,000 € pro Jahr</v>
      </c>
      <c r="G724" s="7">
        <f>IFERROR(__xludf.DUMMYFUNCTION("""COMPUTED_VALUE"""),45000.0)</f>
        <v>45000</v>
      </c>
      <c r="H724" s="7" t="str">
        <f>IFERROR(__xludf.DUMMYFUNCTION("""COMPUTED_VALUE"""),"Jahr")</f>
        <v>Jahr</v>
      </c>
      <c r="I724" s="7">
        <f>IFERROR(__xludf.DUMMYFUNCTION("""COMPUTED_VALUE"""),45000.0)</f>
        <v>45000</v>
      </c>
      <c r="J724" s="7" t="str">
        <f>IFERROR(__xludf.DUMMYFUNCTION("""COMPUTED_VALUE"""),"Excel, Statistic")</f>
        <v>Excel, Statistic</v>
      </c>
      <c r="K724" s="7" t="str">
        <f>IFERROR(__xludf.DUMMYFUNCTION("""COMPUTED_VALUE"""),"No job type data")</f>
        <v>No job type data</v>
      </c>
      <c r="L724" s="7" t="str">
        <f>IFERROR(__xludf.DUMMYFUNCTION("""COMPUTED_VALUE"""),"None")</f>
        <v>None</v>
      </c>
      <c r="M724" s="7"/>
      <c r="N724" s="7"/>
      <c r="O724" s="7"/>
    </row>
    <row r="725">
      <c r="A725" s="29">
        <f>IFERROR(__xludf.DUMMYFUNCTION("""COMPUTED_VALUE"""),721.0)</f>
        <v>721</v>
      </c>
      <c r="B725" s="7" t="str">
        <f>IFERROR(__xludf.DUMMYFUNCTION("""COMPUTED_VALUE"""),"Vor mehr als 30 Tagen")</f>
        <v>Vor mehr als 30 Tagen</v>
      </c>
      <c r="C725" s="7" t="str">
        <f>IFERROR(__xludf.DUMMYFUNCTION("""COMPUTED_VALUE"""),"Cloud Data Warehouse Engineer, Google Cloud Professional Ser...")</f>
        <v>Cloud Data Warehouse Engineer, Google Cloud Professional Ser...</v>
      </c>
      <c r="D725" s="7" t="str">
        <f>IFERROR(__xludf.DUMMYFUNCTION("""COMPUTED_VALUE"""),"München")</f>
        <v>München</v>
      </c>
      <c r="E725" s="7" t="str">
        <f>IFERROR(__xludf.DUMMYFUNCTION("""COMPUTED_VALUE"""),"Google")</f>
        <v>Google</v>
      </c>
      <c r="F725" s="7" t="str">
        <f>IFERROR(__xludf.DUMMYFUNCTION("""COMPUTED_VALUE"""),"None")</f>
        <v>None</v>
      </c>
      <c r="G725" s="7" t="str">
        <f>IFERROR(__xludf.DUMMYFUNCTION("""COMPUTED_VALUE"""),"No salary data")</f>
        <v>No salary data</v>
      </c>
      <c r="H725" s="7" t="str">
        <f>IFERROR(__xludf.DUMMYFUNCTION("""COMPUTED_VALUE"""),"No salary data")</f>
        <v>No salary data</v>
      </c>
      <c r="I725" s="7" t="str">
        <f>IFERROR(__xludf.DUMMYFUNCTION("""COMPUTED_VALUE"""),"No salary data")</f>
        <v>No salary data</v>
      </c>
      <c r="J725" s="7" t="str">
        <f>IFERROR(__xludf.DUMMYFUNCTION("""COMPUTED_VALUE"""),"Python, SQL, Excel, Machine Learning")</f>
        <v>Python, SQL, Excel, Machine Learning</v>
      </c>
      <c r="K725" s="7" t="str">
        <f>IFERROR(__xludf.DUMMYFUNCTION("""COMPUTED_VALUE"""),"No job type data")</f>
        <v>No job type data</v>
      </c>
      <c r="L725" s="7" t="str">
        <f>IFERROR(__xludf.DUMMYFUNCTION("""COMPUTED_VALUE"""),"4,3")</f>
        <v>4,3</v>
      </c>
      <c r="M725" s="7"/>
      <c r="N725" s="7"/>
      <c r="O725" s="7"/>
    </row>
    <row r="726">
      <c r="A726" s="29">
        <f>IFERROR(__xludf.DUMMYFUNCTION("""COMPUTED_VALUE"""),722.0)</f>
        <v>722</v>
      </c>
      <c r="B726" s="7" t="str">
        <f>IFERROR(__xludf.DUMMYFUNCTION("""COMPUTED_VALUE"""),"Vor mehr als 30 Tagen")</f>
        <v>Vor mehr als 30 Tagen</v>
      </c>
      <c r="C726" s="7" t="str">
        <f>IFERROR(__xludf.DUMMYFUNCTION("""COMPUTED_VALUE"""),"Consultant (m/w/d) Business Intelligence / Big Data im Berei...")</f>
        <v>Consultant (m/w/d) Business Intelligence / Big Data im Berei...</v>
      </c>
      <c r="D726" s="7" t="str">
        <f>IFERROR(__xludf.DUMMYFUNCTION("""COMPUTED_VALUE"""),"Böblingen")</f>
        <v>Böblingen</v>
      </c>
      <c r="E726" s="7" t="str">
        <f>IFERROR(__xludf.DUMMYFUNCTION("""COMPUTED_VALUE"""),"STAR COOPERATION GmbH")</f>
        <v>STAR COOPERATION GmbH</v>
      </c>
      <c r="F726" s="7" t="str">
        <f>IFERROR(__xludf.DUMMYFUNCTION("""COMPUTED_VALUE"""),"None")</f>
        <v>None</v>
      </c>
      <c r="G726" s="7" t="str">
        <f>IFERROR(__xludf.DUMMYFUNCTION("""COMPUTED_VALUE"""),"No salary data")</f>
        <v>No salary data</v>
      </c>
      <c r="H726" s="7" t="str">
        <f>IFERROR(__xludf.DUMMYFUNCTION("""COMPUTED_VALUE"""),"No salary data")</f>
        <v>No salary data</v>
      </c>
      <c r="I726" s="7" t="str">
        <f>IFERROR(__xludf.DUMMYFUNCTION("""COMPUTED_VALUE"""),"No salary data")</f>
        <v>No salary data</v>
      </c>
      <c r="J726" s="7" t="str">
        <f>IFERROR(__xludf.DUMMYFUNCTION("""COMPUTED_VALUE"""),"SQL, Excel")</f>
        <v>SQL, Excel</v>
      </c>
      <c r="K726" s="7" t="str">
        <f>IFERROR(__xludf.DUMMYFUNCTION("""COMPUTED_VALUE"""),"No job type data")</f>
        <v>No job type data</v>
      </c>
      <c r="L726" s="7" t="str">
        <f>IFERROR(__xludf.DUMMYFUNCTION("""COMPUTED_VALUE"""),"4,0")</f>
        <v>4,0</v>
      </c>
      <c r="M726" s="7"/>
      <c r="N726" s="7"/>
      <c r="O726" s="7"/>
    </row>
    <row r="727">
      <c r="A727" s="29">
        <f>IFERROR(__xludf.DUMMYFUNCTION("""COMPUTED_VALUE"""),723.0)</f>
        <v>723</v>
      </c>
      <c r="B727" s="7" t="str">
        <f>IFERROR(__xludf.DUMMYFUNCTION("""COMPUTED_VALUE"""),"vor 5 Tagen")</f>
        <v>vor 5 Tagen</v>
      </c>
      <c r="C727" s="7" t="str">
        <f>IFERROR(__xludf.DUMMYFUNCTION("""COMPUTED_VALUE"""),"e-Commerce Data Steward (m/w/d)")</f>
        <v>e-Commerce Data Steward (m/w/d)</v>
      </c>
      <c r="D727" s="7" t="str">
        <f>IFERROR(__xludf.DUMMYFUNCTION("""COMPUTED_VALUE"""),"Stuttgart")</f>
        <v>Stuttgart</v>
      </c>
      <c r="E727" s="7" t="str">
        <f>IFERROR(__xludf.DUMMYFUNCTION("""COMPUTED_VALUE"""),"Da Vinci Engineering GmbH")</f>
        <v>Da Vinci Engineering GmbH</v>
      </c>
      <c r="F727" s="7" t="str">
        <f>IFERROR(__xludf.DUMMYFUNCTION("""COMPUTED_VALUE"""),"None")</f>
        <v>None</v>
      </c>
      <c r="G727" s="7" t="str">
        <f>IFERROR(__xludf.DUMMYFUNCTION("""COMPUTED_VALUE"""),"No salary data")</f>
        <v>No salary data</v>
      </c>
      <c r="H727" s="7" t="str">
        <f>IFERROR(__xludf.DUMMYFUNCTION("""COMPUTED_VALUE"""),"No salary data")</f>
        <v>No salary data</v>
      </c>
      <c r="I727" s="7" t="str">
        <f>IFERROR(__xludf.DUMMYFUNCTION("""COMPUTED_VALUE"""),"No salary data")</f>
        <v>No salary data</v>
      </c>
      <c r="J727" s="7" t="str">
        <f>IFERROR(__xludf.DUMMYFUNCTION("""COMPUTED_VALUE"""),"SQL, Excel")</f>
        <v>SQL, Excel</v>
      </c>
      <c r="K727" s="7" t="str">
        <f>IFERROR(__xludf.DUMMYFUNCTION("""COMPUTED_VALUE"""),"No job type data")</f>
        <v>No job type data</v>
      </c>
      <c r="L727" s="7" t="str">
        <f>IFERROR(__xludf.DUMMYFUNCTION("""COMPUTED_VALUE"""),"4,0")</f>
        <v>4,0</v>
      </c>
      <c r="M727" s="7"/>
      <c r="N727" s="7"/>
      <c r="O727" s="7"/>
    </row>
    <row r="728">
      <c r="A728" s="29">
        <f>IFERROR(__xludf.DUMMYFUNCTION("""COMPUTED_VALUE"""),724.0)</f>
        <v>724</v>
      </c>
      <c r="B728" s="7" t="str">
        <f>IFERROR(__xludf.DUMMYFUNCTION("""COMPUTED_VALUE"""),"vor 6 Tagen")</f>
        <v>vor 6 Tagen</v>
      </c>
      <c r="C728" s="7" t="str">
        <f>IFERROR(__xludf.DUMMYFUNCTION("""COMPUTED_VALUE"""),"Big Data DevOps (m/w/d)")</f>
        <v>Big Data DevOps (m/w/d)</v>
      </c>
      <c r="D728" s="7" t="str">
        <f>IFERROR(__xludf.DUMMYFUNCTION("""COMPUTED_VALUE"""),"München")</f>
        <v>München</v>
      </c>
      <c r="E728" s="7" t="str">
        <f>IFERROR(__xludf.DUMMYFUNCTION("""COMPUTED_VALUE"""),"Selectancy")</f>
        <v>Selectancy</v>
      </c>
      <c r="F728" s="7" t="str">
        <f>IFERROR(__xludf.DUMMYFUNCTION("""COMPUTED_VALUE"""),"None")</f>
        <v>None</v>
      </c>
      <c r="G728" s="7" t="str">
        <f>IFERROR(__xludf.DUMMYFUNCTION("""COMPUTED_VALUE"""),"No salary data")</f>
        <v>No salary data</v>
      </c>
      <c r="H728" s="7" t="str">
        <f>IFERROR(__xludf.DUMMYFUNCTION("""COMPUTED_VALUE"""),"No salary data")</f>
        <v>No salary data</v>
      </c>
      <c r="I728" s="7" t="str">
        <f>IFERROR(__xludf.DUMMYFUNCTION("""COMPUTED_VALUE"""),"No salary data")</f>
        <v>No salary data</v>
      </c>
      <c r="J728" s="7" t="str">
        <f>IFERROR(__xludf.DUMMYFUNCTION("""COMPUTED_VALUE"""),"Python, Git, Linux")</f>
        <v>Python, Git, Linux</v>
      </c>
      <c r="K728" s="7" t="str">
        <f>IFERROR(__xludf.DUMMYFUNCTION("""COMPUTED_VALUE"""),"Permanent")</f>
        <v>Permanent</v>
      </c>
      <c r="L728" s="7" t="str">
        <f>IFERROR(__xludf.DUMMYFUNCTION("""COMPUTED_VALUE"""),"None")</f>
        <v>None</v>
      </c>
      <c r="M728" s="7"/>
      <c r="N728" s="7"/>
      <c r="O728" s="7"/>
    </row>
    <row r="729">
      <c r="A729" s="29">
        <f>IFERROR(__xludf.DUMMYFUNCTION("""COMPUTED_VALUE"""),725.0)</f>
        <v>725</v>
      </c>
      <c r="B729" s="7" t="str">
        <f>IFERROR(__xludf.DUMMYFUNCTION("""COMPUTED_VALUE"""),"Vor mehr als 30 Tagen")</f>
        <v>Vor mehr als 30 Tagen</v>
      </c>
      <c r="C729" s="7" t="str">
        <f>IFERROR(__xludf.DUMMYFUNCTION("""COMPUTED_VALUE"""),"Data Scientist (m/w/d)")</f>
        <v>Data Scientist (m/w/d)</v>
      </c>
      <c r="D729" s="7" t="str">
        <f>IFERROR(__xludf.DUMMYFUNCTION("""COMPUTED_VALUE"""),"Konstanz")</f>
        <v>Konstanz</v>
      </c>
      <c r="E729" s="7" t="str">
        <f>IFERROR(__xludf.DUMMYFUNCTION("""COMPUTED_VALUE"""),"SÜDKURIER GmbH Medienhaus")</f>
        <v>SÜDKURIER GmbH Medienhaus</v>
      </c>
      <c r="F729" s="7" t="str">
        <f>IFERROR(__xludf.DUMMYFUNCTION("""COMPUTED_VALUE"""),"None")</f>
        <v>None</v>
      </c>
      <c r="G729" s="7" t="str">
        <f>IFERROR(__xludf.DUMMYFUNCTION("""COMPUTED_VALUE"""),"No salary data")</f>
        <v>No salary data</v>
      </c>
      <c r="H729" s="7" t="str">
        <f>IFERROR(__xludf.DUMMYFUNCTION("""COMPUTED_VALUE"""),"No salary data")</f>
        <v>No salary data</v>
      </c>
      <c r="I729" s="7" t="str">
        <f>IFERROR(__xludf.DUMMYFUNCTION("""COMPUTED_VALUE"""),"No salary data")</f>
        <v>No salary data</v>
      </c>
      <c r="J729" s="7" t="str">
        <f>IFERROR(__xludf.DUMMYFUNCTION("""COMPUTED_VALUE"""),"Machine Learning, Git, Agile")</f>
        <v>Machine Learning, Git, Agile</v>
      </c>
      <c r="K729" s="7" t="str">
        <f>IFERROR(__xludf.DUMMYFUNCTION("""COMPUTED_VALUE"""),"No job type data")</f>
        <v>No job type data</v>
      </c>
      <c r="L729" s="7" t="str">
        <f>IFERROR(__xludf.DUMMYFUNCTION("""COMPUTED_VALUE"""),"None")</f>
        <v>None</v>
      </c>
      <c r="M729" s="7"/>
      <c r="N729" s="7"/>
      <c r="O729" s="7"/>
    </row>
    <row r="730">
      <c r="A730" s="29">
        <f>IFERROR(__xludf.DUMMYFUNCTION("""COMPUTED_VALUE"""),726.0)</f>
        <v>726</v>
      </c>
      <c r="B730" s="7" t="str">
        <f>IFERROR(__xludf.DUMMYFUNCTION("""COMPUTED_VALUE"""),"Vor mehr als 30 Tagen")</f>
        <v>Vor mehr als 30 Tagen</v>
      </c>
      <c r="C730" s="7" t="str">
        <f>IFERROR(__xludf.DUMMYFUNCTION("""COMPUTED_VALUE"""),"Technical Consultant (m/f/d) Industrial Artificial Intellige...")</f>
        <v>Technical Consultant (m/f/d) Industrial Artificial Intellige...</v>
      </c>
      <c r="D730" s="7" t="str">
        <f>IFERROR(__xludf.DUMMYFUNCTION("""COMPUTED_VALUE"""),"Deutschland")</f>
        <v>Deutschland</v>
      </c>
      <c r="E730" s="7" t="str">
        <f>IFERROR(__xludf.DUMMYFUNCTION("""COMPUTED_VALUE"""),"Intico Engineering")</f>
        <v>Intico Engineering</v>
      </c>
      <c r="F730" s="7" t="str">
        <f>IFERROR(__xludf.DUMMYFUNCTION("""COMPUTED_VALUE"""),"None")</f>
        <v>None</v>
      </c>
      <c r="G730" s="7" t="str">
        <f>IFERROR(__xludf.DUMMYFUNCTION("""COMPUTED_VALUE"""),"No salary data")</f>
        <v>No salary data</v>
      </c>
      <c r="H730" s="7" t="str">
        <f>IFERROR(__xludf.DUMMYFUNCTION("""COMPUTED_VALUE"""),"No salary data")</f>
        <v>No salary data</v>
      </c>
      <c r="I730" s="7" t="str">
        <f>IFERROR(__xludf.DUMMYFUNCTION("""COMPUTED_VALUE"""),"No salary data")</f>
        <v>No salary data</v>
      </c>
      <c r="J730" s="7" t="str">
        <f>IFERROR(__xludf.DUMMYFUNCTION("""COMPUTED_VALUE"""),"Python, SQL, Machine Learning")</f>
        <v>Python, SQL, Machine Learning</v>
      </c>
      <c r="K730" s="7" t="str">
        <f>IFERROR(__xludf.DUMMYFUNCTION("""COMPUTED_VALUE"""),"No job type data")</f>
        <v>No job type data</v>
      </c>
      <c r="L730" s="7" t="str">
        <f>IFERROR(__xludf.DUMMYFUNCTION("""COMPUTED_VALUE"""),"None")</f>
        <v>None</v>
      </c>
      <c r="M730" s="7"/>
      <c r="N730" s="7"/>
      <c r="O730" s="7"/>
    </row>
    <row r="731">
      <c r="A731" s="29">
        <f>IFERROR(__xludf.DUMMYFUNCTION("""COMPUTED_VALUE"""),727.0)</f>
        <v>727</v>
      </c>
      <c r="B731" s="7" t="str">
        <f>IFERROR(__xludf.DUMMYFUNCTION("""COMPUTED_VALUE"""),"vor 26 Tagen")</f>
        <v>vor 26 Tagen</v>
      </c>
      <c r="C731" s="7" t="str">
        <f>IFERROR(__xludf.DUMMYFUNCTION("""COMPUTED_VALUE"""),"Data Pipeline Engineer (m/f/x)")</f>
        <v>Data Pipeline Engineer (m/f/x)</v>
      </c>
      <c r="D731" s="7" t="str">
        <f>IFERROR(__xludf.DUMMYFUNCTION("""COMPUTED_VALUE"""),"München")</f>
        <v>München</v>
      </c>
      <c r="E731" s="7" t="str">
        <f>IFERROR(__xludf.DUMMYFUNCTION("""COMPUTED_VALUE"""),"Celonis")</f>
        <v>Celonis</v>
      </c>
      <c r="F731" s="7" t="str">
        <f>IFERROR(__xludf.DUMMYFUNCTION("""COMPUTED_VALUE"""),"None")</f>
        <v>None</v>
      </c>
      <c r="G731" s="7" t="str">
        <f>IFERROR(__xludf.DUMMYFUNCTION("""COMPUTED_VALUE"""),"No salary data")</f>
        <v>No salary data</v>
      </c>
      <c r="H731" s="7" t="str">
        <f>IFERROR(__xludf.DUMMYFUNCTION("""COMPUTED_VALUE"""),"No salary data")</f>
        <v>No salary data</v>
      </c>
      <c r="I731" s="7" t="str">
        <f>IFERROR(__xludf.DUMMYFUNCTION("""COMPUTED_VALUE"""),"No salary data")</f>
        <v>No salary data</v>
      </c>
      <c r="J731" s="7" t="str">
        <f>IFERROR(__xludf.DUMMYFUNCTION("""COMPUTED_VALUE"""),"Python, SQL, Excel, Agile")</f>
        <v>Python, SQL, Excel, Agile</v>
      </c>
      <c r="K731" s="7" t="str">
        <f>IFERROR(__xludf.DUMMYFUNCTION("""COMPUTED_VALUE"""),"No job type data")</f>
        <v>No job type data</v>
      </c>
      <c r="L731" s="7" t="str">
        <f>IFERROR(__xludf.DUMMYFUNCTION("""COMPUTED_VALUE"""),"4,3")</f>
        <v>4,3</v>
      </c>
      <c r="M731" s="7"/>
      <c r="N731" s="7"/>
      <c r="O731" s="7"/>
    </row>
    <row r="732">
      <c r="A732" s="29">
        <f>IFERROR(__xludf.DUMMYFUNCTION("""COMPUTED_VALUE"""),728.0)</f>
        <v>728</v>
      </c>
      <c r="B732" s="7" t="str">
        <f>IFERROR(__xludf.DUMMYFUNCTION("""COMPUTED_VALUE"""),"Vor mehr als 30 Tagen")</f>
        <v>Vor mehr als 30 Tagen</v>
      </c>
      <c r="C732" s="7" t="str">
        <f>IFERROR(__xludf.DUMMYFUNCTION("""COMPUTED_VALUE"""),"Data Centre Technician (m/f/d) – Career Transition Programme")</f>
        <v>Data Centre Technician (m/f/d) – Career Transition Programme</v>
      </c>
      <c r="D732" s="7" t="str">
        <f>IFERROR(__xludf.DUMMYFUNCTION("""COMPUTED_VALUE"""),"Frankfurt am Main")</f>
        <v>Frankfurt am Main</v>
      </c>
      <c r="E732" s="7" t="str">
        <f>IFERROR(__xludf.DUMMYFUNCTION("""COMPUTED_VALUE"""),"Equinix")</f>
        <v>Equinix</v>
      </c>
      <c r="F732" s="7" t="str">
        <f>IFERROR(__xludf.DUMMYFUNCTION("""COMPUTED_VALUE"""),"None")</f>
        <v>None</v>
      </c>
      <c r="G732" s="7" t="str">
        <f>IFERROR(__xludf.DUMMYFUNCTION("""COMPUTED_VALUE"""),"No salary data")</f>
        <v>No salary data</v>
      </c>
      <c r="H732" s="7" t="str">
        <f>IFERROR(__xludf.DUMMYFUNCTION("""COMPUTED_VALUE"""),"No salary data")</f>
        <v>No salary data</v>
      </c>
      <c r="I732" s="7" t="str">
        <f>IFERROR(__xludf.DUMMYFUNCTION("""COMPUTED_VALUE"""),"No salary data")</f>
        <v>No salary data</v>
      </c>
      <c r="J732" s="7" t="str">
        <f>IFERROR(__xludf.DUMMYFUNCTION("""COMPUTED_VALUE"""),"Excel")</f>
        <v>Excel</v>
      </c>
      <c r="K732" s="7" t="str">
        <f>IFERROR(__xludf.DUMMYFUNCTION("""COMPUTED_VALUE"""),"No job type data")</f>
        <v>No job type data</v>
      </c>
      <c r="L732" s="7" t="str">
        <f>IFERROR(__xludf.DUMMYFUNCTION("""COMPUTED_VALUE"""),"3,8")</f>
        <v>3,8</v>
      </c>
      <c r="M732" s="7"/>
      <c r="N732" s="7"/>
      <c r="O732" s="7"/>
    </row>
    <row r="733">
      <c r="A733" s="29">
        <f>IFERROR(__xludf.DUMMYFUNCTION("""COMPUTED_VALUE"""),729.0)</f>
        <v>729</v>
      </c>
      <c r="B733" s="7" t="str">
        <f>IFERROR(__xludf.DUMMYFUNCTION("""COMPUTED_VALUE"""),"Vor mehr als 30 Tagen")</f>
        <v>Vor mehr als 30 Tagen</v>
      </c>
      <c r="C733" s="7" t="str">
        <f>IFERROR(__xludf.DUMMYFUNCTION("""COMPUTED_VALUE"""),"DATA WAREHOUSE ENGINEER")</f>
        <v>DATA WAREHOUSE ENGINEER</v>
      </c>
      <c r="D733" s="7" t="str">
        <f>IFERROR(__xludf.DUMMYFUNCTION("""COMPUTED_VALUE"""),"Deutschland")</f>
        <v>Deutschland</v>
      </c>
      <c r="E733" s="7" t="str">
        <f>IFERROR(__xludf.DUMMYFUNCTION("""COMPUTED_VALUE"""),"Vilua Arvato CRM Healthcare GmbH")</f>
        <v>Vilua Arvato CRM Healthcare GmbH</v>
      </c>
      <c r="F733" s="7" t="str">
        <f>IFERROR(__xludf.DUMMYFUNCTION("""COMPUTED_VALUE"""),"None")</f>
        <v>None</v>
      </c>
      <c r="G733" s="7" t="str">
        <f>IFERROR(__xludf.DUMMYFUNCTION("""COMPUTED_VALUE"""),"No salary data")</f>
        <v>No salary data</v>
      </c>
      <c r="H733" s="7" t="str">
        <f>IFERROR(__xludf.DUMMYFUNCTION("""COMPUTED_VALUE"""),"No salary data")</f>
        <v>No salary data</v>
      </c>
      <c r="I733" s="7" t="str">
        <f>IFERROR(__xludf.DUMMYFUNCTION("""COMPUTED_VALUE"""),"No salary data")</f>
        <v>No salary data</v>
      </c>
      <c r="J733" s="7" t="str">
        <f>IFERROR(__xludf.DUMMYFUNCTION("""COMPUTED_VALUE"""),"SQL")</f>
        <v>SQL</v>
      </c>
      <c r="K733" s="7" t="str">
        <f>IFERROR(__xludf.DUMMYFUNCTION("""COMPUTED_VALUE"""),"No job type data")</f>
        <v>No job type data</v>
      </c>
      <c r="L733" s="7" t="str">
        <f>IFERROR(__xludf.DUMMYFUNCTION("""COMPUTED_VALUE"""),"None")</f>
        <v>None</v>
      </c>
      <c r="M733" s="7"/>
      <c r="N733" s="7"/>
      <c r="O733" s="7"/>
    </row>
    <row r="734">
      <c r="A734" s="29">
        <f>IFERROR(__xludf.DUMMYFUNCTION("""COMPUTED_VALUE"""),730.0)</f>
        <v>730</v>
      </c>
      <c r="B734" s="7" t="str">
        <f>IFERROR(__xludf.DUMMYFUNCTION("""COMPUTED_VALUE"""),"Vor mehr als 30 Tagen")</f>
        <v>Vor mehr als 30 Tagen</v>
      </c>
      <c r="C734" s="7" t="str">
        <f>IFERROR(__xludf.DUMMYFUNCTION("""COMPUTED_VALUE"""),"Data Analyst")</f>
        <v>Data Analyst</v>
      </c>
      <c r="D734" s="7" t="str">
        <f>IFERROR(__xludf.DUMMYFUNCTION("""COMPUTED_VALUE"""),"Berlin")</f>
        <v>Berlin</v>
      </c>
      <c r="E734" s="7" t="str">
        <f>IFERROR(__xludf.DUMMYFUNCTION("""COMPUTED_VALUE"""),"Orange Quarter")</f>
        <v>Orange Quarter</v>
      </c>
      <c r="F734" s="7" t="str">
        <f>IFERROR(__xludf.DUMMYFUNCTION("""COMPUTED_VALUE"""),"None")</f>
        <v>None</v>
      </c>
      <c r="G734" s="7" t="str">
        <f>IFERROR(__xludf.DUMMYFUNCTION("""COMPUTED_VALUE"""),"No salary data")</f>
        <v>No salary data</v>
      </c>
      <c r="H734" s="7" t="str">
        <f>IFERROR(__xludf.DUMMYFUNCTION("""COMPUTED_VALUE"""),"No salary data")</f>
        <v>No salary data</v>
      </c>
      <c r="I734" s="7" t="str">
        <f>IFERROR(__xludf.DUMMYFUNCTION("""COMPUTED_VALUE"""),"No salary data")</f>
        <v>No salary data</v>
      </c>
      <c r="J734" s="7" t="str">
        <f>IFERROR(__xludf.DUMMYFUNCTION("""COMPUTED_VALUE"""),"Machine Learning, Git")</f>
        <v>Machine Learning, Git</v>
      </c>
      <c r="K734" s="7" t="str">
        <f>IFERROR(__xludf.DUMMYFUNCTION("""COMPUTED_VALUE"""),"No job type data")</f>
        <v>No job type data</v>
      </c>
      <c r="L734" s="7" t="str">
        <f>IFERROR(__xludf.DUMMYFUNCTION("""COMPUTED_VALUE"""),"None")</f>
        <v>None</v>
      </c>
      <c r="M734" s="7"/>
      <c r="N734" s="7"/>
      <c r="O734" s="7"/>
    </row>
    <row r="735">
      <c r="A735" s="29">
        <f>IFERROR(__xludf.DUMMYFUNCTION("""COMPUTED_VALUE"""),731.0)</f>
        <v>731</v>
      </c>
      <c r="B735" s="7" t="str">
        <f>IFERROR(__xludf.DUMMYFUNCTION("""COMPUTED_VALUE"""),"Vor mehr als 30 Tagen")</f>
        <v>Vor mehr als 30 Tagen</v>
      </c>
      <c r="C735" s="7" t="str">
        <f>IFERROR(__xludf.DUMMYFUNCTION("""COMPUTED_VALUE"""),"Data Scientist (m/w/d)")</f>
        <v>Data Scientist (m/w/d)</v>
      </c>
      <c r="D735" s="7" t="str">
        <f>IFERROR(__xludf.DUMMYFUNCTION("""COMPUTED_VALUE"""),"Wimsheim")</f>
        <v>Wimsheim</v>
      </c>
      <c r="E735" s="7" t="str">
        <f>IFERROR(__xludf.DUMMYFUNCTION("""COMPUTED_VALUE"""),"WidasConcepts GmbH")</f>
        <v>WidasConcepts GmbH</v>
      </c>
      <c r="F735" s="7" t="str">
        <f>IFERROR(__xludf.DUMMYFUNCTION("""COMPUTED_VALUE"""),"None")</f>
        <v>None</v>
      </c>
      <c r="G735" s="7" t="str">
        <f>IFERROR(__xludf.DUMMYFUNCTION("""COMPUTED_VALUE"""),"No salary data")</f>
        <v>No salary data</v>
      </c>
      <c r="H735" s="7" t="str">
        <f>IFERROR(__xludf.DUMMYFUNCTION("""COMPUTED_VALUE"""),"No salary data")</f>
        <v>No salary data</v>
      </c>
      <c r="I735" s="7" t="str">
        <f>IFERROR(__xludf.DUMMYFUNCTION("""COMPUTED_VALUE"""),"No salary data")</f>
        <v>No salary data</v>
      </c>
      <c r="J735" s="7" t="str">
        <f>IFERROR(__xludf.DUMMYFUNCTION("""COMPUTED_VALUE"""),"Python, SQL, Git, Agile")</f>
        <v>Python, SQL, Git, Agile</v>
      </c>
      <c r="K735" s="7" t="str">
        <f>IFERROR(__xludf.DUMMYFUNCTION("""COMPUTED_VALUE"""),"No job type data")</f>
        <v>No job type data</v>
      </c>
      <c r="L735" s="7" t="str">
        <f>IFERROR(__xludf.DUMMYFUNCTION("""COMPUTED_VALUE"""),"4,5")</f>
        <v>4,5</v>
      </c>
      <c r="M735" s="7"/>
      <c r="N735" s="7"/>
      <c r="O735" s="7"/>
    </row>
    <row r="736">
      <c r="A736" s="29">
        <f>IFERROR(__xludf.DUMMYFUNCTION("""COMPUTED_VALUE"""),732.0)</f>
        <v>732</v>
      </c>
      <c r="B736" s="7" t="str">
        <f>IFERROR(__xludf.DUMMYFUNCTION("""COMPUTED_VALUE"""),"Vor mehr als 30 Tagen")</f>
        <v>Vor mehr als 30 Tagen</v>
      </c>
      <c r="C736" s="7" t="str">
        <f>IFERROR(__xludf.DUMMYFUNCTION("""COMPUTED_VALUE"""),"Data Scientist / Machine Learning Expert")</f>
        <v>Data Scientist / Machine Learning Expert</v>
      </c>
      <c r="D736" s="7" t="str">
        <f>IFERROR(__xludf.DUMMYFUNCTION("""COMPUTED_VALUE"""),"München")</f>
        <v>München</v>
      </c>
      <c r="E736" s="7" t="str">
        <f>IFERROR(__xludf.DUMMYFUNCTION("""COMPUTED_VALUE"""),"Testifi GmbH")</f>
        <v>Testifi GmbH</v>
      </c>
      <c r="F736" s="7" t="str">
        <f>IFERROR(__xludf.DUMMYFUNCTION("""COMPUTED_VALUE"""),"None")</f>
        <v>None</v>
      </c>
      <c r="G736" s="7" t="str">
        <f>IFERROR(__xludf.DUMMYFUNCTION("""COMPUTED_VALUE"""),"No salary data")</f>
        <v>No salary data</v>
      </c>
      <c r="H736" s="7" t="str">
        <f>IFERROR(__xludf.DUMMYFUNCTION("""COMPUTED_VALUE"""),"No salary data")</f>
        <v>No salary data</v>
      </c>
      <c r="I736" s="7" t="str">
        <f>IFERROR(__xludf.DUMMYFUNCTION("""COMPUTED_VALUE"""),"No salary data")</f>
        <v>No salary data</v>
      </c>
      <c r="J736" s="7" t="str">
        <f>IFERROR(__xludf.DUMMYFUNCTION("""COMPUTED_VALUE"""),"Python, Excel, Machine Learning, Git")</f>
        <v>Python, Excel, Machine Learning, Git</v>
      </c>
      <c r="K736" s="7" t="str">
        <f>IFERROR(__xludf.DUMMYFUNCTION("""COMPUTED_VALUE"""),"No job type data")</f>
        <v>No job type data</v>
      </c>
      <c r="L736" s="7" t="str">
        <f>IFERROR(__xludf.DUMMYFUNCTION("""COMPUTED_VALUE"""),"None")</f>
        <v>None</v>
      </c>
      <c r="M736" s="7"/>
      <c r="N736" s="7"/>
      <c r="O736" s="7"/>
    </row>
    <row r="737">
      <c r="A737" s="29">
        <f>IFERROR(__xludf.DUMMYFUNCTION("""COMPUTED_VALUE"""),733.0)</f>
        <v>733</v>
      </c>
      <c r="B737" s="7" t="str">
        <f>IFERROR(__xludf.DUMMYFUNCTION("""COMPUTED_VALUE"""),"vor 12 Tagen")</f>
        <v>vor 12 Tagen</v>
      </c>
      <c r="C737" s="7" t="str">
        <f>IFERROR(__xludf.DUMMYFUNCTION("""COMPUTED_VALUE"""),"Clinical Data Specialist")</f>
        <v>Clinical Data Specialist</v>
      </c>
      <c r="D737" s="7" t="str">
        <f>IFERROR(__xludf.DUMMYFUNCTION("""COMPUTED_VALUE"""),"Deutschland")</f>
        <v>Deutschland</v>
      </c>
      <c r="E737" s="7" t="str">
        <f>IFERROR(__xludf.DUMMYFUNCTION("""COMPUTED_VALUE"""),"HAL Allergie GmbH")</f>
        <v>HAL Allergie GmbH</v>
      </c>
      <c r="F737" s="7" t="str">
        <f>IFERROR(__xludf.DUMMYFUNCTION("""COMPUTED_VALUE"""),"None")</f>
        <v>None</v>
      </c>
      <c r="G737" s="7" t="str">
        <f>IFERROR(__xludf.DUMMYFUNCTION("""COMPUTED_VALUE"""),"No salary data")</f>
        <v>No salary data</v>
      </c>
      <c r="H737" s="7" t="str">
        <f>IFERROR(__xludf.DUMMYFUNCTION("""COMPUTED_VALUE"""),"No salary data")</f>
        <v>No salary data</v>
      </c>
      <c r="I737" s="7" t="str">
        <f>IFERROR(__xludf.DUMMYFUNCTION("""COMPUTED_VALUE"""),"No salary data")</f>
        <v>No salary data</v>
      </c>
      <c r="J737" s="7" t="str">
        <f>IFERROR(__xludf.DUMMYFUNCTION("""COMPUTED_VALUE"""),"Excel, Statistic")</f>
        <v>Excel, Statistic</v>
      </c>
      <c r="K737" s="7" t="str">
        <f>IFERROR(__xludf.DUMMYFUNCTION("""COMPUTED_VALUE"""),"Contract")</f>
        <v>Contract</v>
      </c>
      <c r="L737" s="7" t="str">
        <f>IFERROR(__xludf.DUMMYFUNCTION("""COMPUTED_VALUE"""),"None")</f>
        <v>None</v>
      </c>
      <c r="M737" s="7"/>
      <c r="N737" s="7"/>
      <c r="O737" s="7"/>
    </row>
    <row r="738">
      <c r="A738" s="29">
        <f>IFERROR(__xludf.DUMMYFUNCTION("""COMPUTED_VALUE"""),734.0)</f>
        <v>734</v>
      </c>
      <c r="B738" s="7" t="str">
        <f>IFERROR(__xludf.DUMMYFUNCTION("""COMPUTED_VALUE"""),"Vor mehr als 30 Tagen")</f>
        <v>Vor mehr als 30 Tagen</v>
      </c>
      <c r="C738" s="7" t="str">
        <f>IFERROR(__xludf.DUMMYFUNCTION("""COMPUTED_VALUE"""),"Software-Entwickler (m/w/d) mit Schwerpunkt Big Data und Ana...")</f>
        <v>Software-Entwickler (m/w/d) mit Schwerpunkt Big Data und Ana...</v>
      </c>
      <c r="D738" s="7" t="str">
        <f>IFERROR(__xludf.DUMMYFUNCTION("""COMPUTED_VALUE"""),"Deutschland")</f>
        <v>Deutschland</v>
      </c>
      <c r="E738" s="7" t="str">
        <f>IFERROR(__xludf.DUMMYFUNCTION("""COMPUTED_VALUE"""),"PROFI Engineering Systems")</f>
        <v>PROFI Engineering Systems</v>
      </c>
      <c r="F738" s="7" t="str">
        <f>IFERROR(__xludf.DUMMYFUNCTION("""COMPUTED_VALUE"""),"None")</f>
        <v>None</v>
      </c>
      <c r="G738" s="7" t="str">
        <f>IFERROR(__xludf.DUMMYFUNCTION("""COMPUTED_VALUE"""),"No salary data")</f>
        <v>No salary data</v>
      </c>
      <c r="H738" s="7" t="str">
        <f>IFERROR(__xludf.DUMMYFUNCTION("""COMPUTED_VALUE"""),"No salary data")</f>
        <v>No salary data</v>
      </c>
      <c r="I738" s="7" t="str">
        <f>IFERROR(__xludf.DUMMYFUNCTION("""COMPUTED_VALUE"""),"No salary data")</f>
        <v>No salary data</v>
      </c>
      <c r="J738" s="7" t="str">
        <f>IFERROR(__xludf.DUMMYFUNCTION("""COMPUTED_VALUE"""),"Python, SQL, Git, Agile")</f>
        <v>Python, SQL, Git, Agile</v>
      </c>
      <c r="K738" s="7" t="str">
        <f>IFERROR(__xludf.DUMMYFUNCTION("""COMPUTED_VALUE"""),"No job type data")</f>
        <v>No job type data</v>
      </c>
      <c r="L738" s="7" t="str">
        <f>IFERROR(__xludf.DUMMYFUNCTION("""COMPUTED_VALUE"""),"None")</f>
        <v>None</v>
      </c>
      <c r="M738" s="7"/>
      <c r="N738" s="7"/>
      <c r="O738" s="7"/>
    </row>
    <row r="739">
      <c r="A739" s="29">
        <f>IFERROR(__xludf.DUMMYFUNCTION("""COMPUTED_VALUE"""),735.0)</f>
        <v>735</v>
      </c>
      <c r="B739" s="7" t="str">
        <f>IFERROR(__xludf.DUMMYFUNCTION("""COMPUTED_VALUE"""),"Vor mehr als 30 Tagen")</f>
        <v>Vor mehr als 30 Tagen</v>
      </c>
      <c r="C739" s="7" t="str">
        <f>IFERROR(__xludf.DUMMYFUNCTION("""COMPUTED_VALUE"""),"Team Lead Data Engineering &amp; Analytics")</f>
        <v>Team Lead Data Engineering &amp; Analytics</v>
      </c>
      <c r="D739" s="7" t="str">
        <f>IFERROR(__xludf.DUMMYFUNCTION("""COMPUTED_VALUE"""),"Home Office")</f>
        <v>Home Office</v>
      </c>
      <c r="E739" s="7" t="str">
        <f>IFERROR(__xludf.DUMMYFUNCTION("""COMPUTED_VALUE"""),"Userlane")</f>
        <v>Userlane</v>
      </c>
      <c r="F739" s="7" t="str">
        <f>IFERROR(__xludf.DUMMYFUNCTION("""COMPUTED_VALUE"""),"None")</f>
        <v>None</v>
      </c>
      <c r="G739" s="7" t="str">
        <f>IFERROR(__xludf.DUMMYFUNCTION("""COMPUTED_VALUE"""),"No salary data")</f>
        <v>No salary data</v>
      </c>
      <c r="H739" s="7" t="str">
        <f>IFERROR(__xludf.DUMMYFUNCTION("""COMPUTED_VALUE"""),"No salary data")</f>
        <v>No salary data</v>
      </c>
      <c r="I739" s="7" t="str">
        <f>IFERROR(__xludf.DUMMYFUNCTION("""COMPUTED_VALUE"""),"No salary data")</f>
        <v>No salary data</v>
      </c>
      <c r="J739" s="7" t="str">
        <f>IFERROR(__xludf.DUMMYFUNCTION("""COMPUTED_VALUE"""),"SQL, Excel")</f>
        <v>SQL, Excel</v>
      </c>
      <c r="K739" s="7" t="str">
        <f>IFERROR(__xludf.DUMMYFUNCTION("""COMPUTED_VALUE"""),"No job type data")</f>
        <v>No job type data</v>
      </c>
      <c r="L739" s="7" t="str">
        <f>IFERROR(__xludf.DUMMYFUNCTION("""COMPUTED_VALUE"""),"None")</f>
        <v>None</v>
      </c>
      <c r="M739" s="7"/>
      <c r="N739" s="7"/>
      <c r="O739" s="7"/>
    </row>
    <row r="740">
      <c r="A740" s="29">
        <f>IFERROR(__xludf.DUMMYFUNCTION("""COMPUTED_VALUE"""),736.0)</f>
        <v>736</v>
      </c>
      <c r="B740" s="7" t="str">
        <f>IFERROR(__xludf.DUMMYFUNCTION("""COMPUTED_VALUE"""),"vor 18 Tagen")</f>
        <v>vor 18 Tagen</v>
      </c>
      <c r="C740" s="7" t="str">
        <f>IFERROR(__xludf.DUMMYFUNCTION("""COMPUTED_VALUE"""),"IT-Spezialist Data Warehousing / SQL für Kapitalanlagen (m/w...")</f>
        <v>IT-Spezialist Data Warehousing / SQL für Kapitalanlagen (m/w...</v>
      </c>
      <c r="D740" s="7" t="str">
        <f>IFERROR(__xludf.DUMMYFUNCTION("""COMPUTED_VALUE"""),"Stuttgart")</f>
        <v>Stuttgart</v>
      </c>
      <c r="E740" s="7" t="str">
        <f>IFERROR(__xludf.DUMMYFUNCTION("""COMPUTED_VALUE"""),"SV SparkassenVersicherung")</f>
        <v>SV SparkassenVersicherung</v>
      </c>
      <c r="F740" s="7" t="str">
        <f>IFERROR(__xludf.DUMMYFUNCTION("""COMPUTED_VALUE"""),"None")</f>
        <v>None</v>
      </c>
      <c r="G740" s="7" t="str">
        <f>IFERROR(__xludf.DUMMYFUNCTION("""COMPUTED_VALUE"""),"No salary data")</f>
        <v>No salary data</v>
      </c>
      <c r="H740" s="7" t="str">
        <f>IFERROR(__xludf.DUMMYFUNCTION("""COMPUTED_VALUE"""),"No salary data")</f>
        <v>No salary data</v>
      </c>
      <c r="I740" s="7" t="str">
        <f>IFERROR(__xludf.DUMMYFUNCTION("""COMPUTED_VALUE"""),"No salary data")</f>
        <v>No salary data</v>
      </c>
      <c r="J740" s="7" t="str">
        <f>IFERROR(__xludf.DUMMYFUNCTION("""COMPUTED_VALUE"""),"SQL, Agile")</f>
        <v>SQL, Agile</v>
      </c>
      <c r="K740" s="7" t="str">
        <f>IFERROR(__xludf.DUMMYFUNCTION("""COMPUTED_VALUE"""),"No job type data")</f>
        <v>No job type data</v>
      </c>
      <c r="L740" s="7" t="str">
        <f>IFERROR(__xludf.DUMMYFUNCTION("""COMPUTED_VALUE"""),"4,0")</f>
        <v>4,0</v>
      </c>
      <c r="M740" s="7"/>
      <c r="N740" s="7"/>
      <c r="O740" s="7"/>
    </row>
    <row r="741">
      <c r="A741" s="29">
        <f>IFERROR(__xludf.DUMMYFUNCTION("""COMPUTED_VALUE"""),737.0)</f>
        <v>737</v>
      </c>
      <c r="B741" s="7" t="str">
        <f>IFERROR(__xludf.DUMMYFUNCTION("""COMPUTED_VALUE"""),"Vor mehr als 30 Tagen")</f>
        <v>Vor mehr als 30 Tagen</v>
      </c>
      <c r="C741" s="7" t="str">
        <f>IFERROR(__xludf.DUMMYFUNCTION("""COMPUTED_VALUE"""),"Data Engineer (f/m/d)")</f>
        <v>Data Engineer (f/m/d)</v>
      </c>
      <c r="D741" s="7" t="str">
        <f>IFERROR(__xludf.DUMMYFUNCTION("""COMPUTED_VALUE"""),"Düsseldorf")</f>
        <v>Düsseldorf</v>
      </c>
      <c r="E741" s="7" t="str">
        <f>IFERROR(__xludf.DUMMYFUNCTION("""COMPUTED_VALUE"""),"FRED Executive Search GmbH")</f>
        <v>FRED Executive Search GmbH</v>
      </c>
      <c r="F741" s="7" t="str">
        <f>IFERROR(__xludf.DUMMYFUNCTION("""COMPUTED_VALUE"""),"None")</f>
        <v>None</v>
      </c>
      <c r="G741" s="7" t="str">
        <f>IFERROR(__xludf.DUMMYFUNCTION("""COMPUTED_VALUE"""),"No salary data")</f>
        <v>No salary data</v>
      </c>
      <c r="H741" s="7" t="str">
        <f>IFERROR(__xludf.DUMMYFUNCTION("""COMPUTED_VALUE"""),"No salary data")</f>
        <v>No salary data</v>
      </c>
      <c r="I741" s="7" t="str">
        <f>IFERROR(__xludf.DUMMYFUNCTION("""COMPUTED_VALUE"""),"No salary data")</f>
        <v>No salary data</v>
      </c>
      <c r="J741" s="7" t="str">
        <f>IFERROR(__xludf.DUMMYFUNCTION("""COMPUTED_VALUE"""),"Python, SQL, Statistic, Git")</f>
        <v>Python, SQL, Statistic, Git</v>
      </c>
      <c r="K741" s="7" t="str">
        <f>IFERROR(__xludf.DUMMYFUNCTION("""COMPUTED_VALUE"""),"No job type data")</f>
        <v>No job type data</v>
      </c>
      <c r="L741" s="7" t="str">
        <f>IFERROR(__xludf.DUMMYFUNCTION("""COMPUTED_VALUE"""),"None")</f>
        <v>None</v>
      </c>
      <c r="M741" s="7"/>
      <c r="N741" s="7"/>
      <c r="O741" s="7"/>
    </row>
    <row r="742">
      <c r="A742" s="29">
        <f>IFERROR(__xludf.DUMMYFUNCTION("""COMPUTED_VALUE"""),738.0)</f>
        <v>738</v>
      </c>
      <c r="B742" s="7" t="str">
        <f>IFERROR(__xludf.DUMMYFUNCTION("""COMPUTED_VALUE"""),"vor 20 Tagen")</f>
        <v>vor 20 Tagen</v>
      </c>
      <c r="C742" s="7" t="str">
        <f>IFERROR(__xludf.DUMMYFUNCTION("""COMPUTED_VALUE"""),"Data Engineer (m/w/d)")</f>
        <v>Data Engineer (m/w/d)</v>
      </c>
      <c r="D742" s="7" t="str">
        <f>IFERROR(__xludf.DUMMYFUNCTION("""COMPUTED_VALUE"""),"Freiburg")</f>
        <v>Freiburg</v>
      </c>
      <c r="E742" s="7" t="str">
        <f>IFERROR(__xludf.DUMMYFUNCTION("""COMPUTED_VALUE"""),"CONSUS")</f>
        <v>CONSUS</v>
      </c>
      <c r="F742" s="7" t="str">
        <f>IFERROR(__xludf.DUMMYFUNCTION("""COMPUTED_VALUE"""),"None")</f>
        <v>None</v>
      </c>
      <c r="G742" s="7" t="str">
        <f>IFERROR(__xludf.DUMMYFUNCTION("""COMPUTED_VALUE"""),"No salary data")</f>
        <v>No salary data</v>
      </c>
      <c r="H742" s="7" t="str">
        <f>IFERROR(__xludf.DUMMYFUNCTION("""COMPUTED_VALUE"""),"No salary data")</f>
        <v>No salary data</v>
      </c>
      <c r="I742" s="7" t="str">
        <f>IFERROR(__xludf.DUMMYFUNCTION("""COMPUTED_VALUE"""),"No salary data")</f>
        <v>No salary data</v>
      </c>
      <c r="J742" s="7" t="str">
        <f>IFERROR(__xludf.DUMMYFUNCTION("""COMPUTED_VALUE"""),"Python, SQL")</f>
        <v>Python, SQL</v>
      </c>
      <c r="K742" s="7" t="str">
        <f>IFERROR(__xludf.DUMMYFUNCTION("""COMPUTED_VALUE"""),"No job type data")</f>
        <v>No job type data</v>
      </c>
      <c r="L742" s="7" t="str">
        <f>IFERROR(__xludf.DUMMYFUNCTION("""COMPUTED_VALUE"""),"None")</f>
        <v>None</v>
      </c>
      <c r="M742" s="7"/>
      <c r="N742" s="7"/>
      <c r="O742" s="7"/>
    </row>
    <row r="743">
      <c r="A743" s="29">
        <f>IFERROR(__xludf.DUMMYFUNCTION("""COMPUTED_VALUE"""),739.0)</f>
        <v>739</v>
      </c>
      <c r="B743" s="7" t="str">
        <f>IFERROR(__xludf.DUMMYFUNCTION("""COMPUTED_VALUE"""),"Vor mehr als 30 Tagen")</f>
        <v>Vor mehr als 30 Tagen</v>
      </c>
      <c r="C743" s="7" t="str">
        <f>IFERROR(__xludf.DUMMYFUNCTION("""COMPUTED_VALUE"""),"Machine Learning Engineer (f/m/x)")</f>
        <v>Machine Learning Engineer (f/m/x)</v>
      </c>
      <c r="D743" s="7" t="str">
        <f>IFERROR(__xludf.DUMMYFUNCTION("""COMPUTED_VALUE"""),"Berlin")</f>
        <v>Berlin</v>
      </c>
      <c r="E743" s="7" t="str">
        <f>IFERROR(__xludf.DUMMYFUNCTION("""COMPUTED_VALUE"""),"Zenjob")</f>
        <v>Zenjob</v>
      </c>
      <c r="F743" s="7" t="str">
        <f>IFERROR(__xludf.DUMMYFUNCTION("""COMPUTED_VALUE"""),"None")</f>
        <v>None</v>
      </c>
      <c r="G743" s="7" t="str">
        <f>IFERROR(__xludf.DUMMYFUNCTION("""COMPUTED_VALUE"""),"No salary data")</f>
        <v>No salary data</v>
      </c>
      <c r="H743" s="7" t="str">
        <f>IFERROR(__xludf.DUMMYFUNCTION("""COMPUTED_VALUE"""),"No salary data")</f>
        <v>No salary data</v>
      </c>
      <c r="I743" s="7" t="str">
        <f>IFERROR(__xludf.DUMMYFUNCTION("""COMPUTED_VALUE"""),"No salary data")</f>
        <v>No salary data</v>
      </c>
      <c r="J743" s="7" t="str">
        <f>IFERROR(__xludf.DUMMYFUNCTION("""COMPUTED_VALUE"""),"SQL, Excel, Machine Learning, Git")</f>
        <v>SQL, Excel, Machine Learning, Git</v>
      </c>
      <c r="K743" s="7" t="str">
        <f>IFERROR(__xludf.DUMMYFUNCTION("""COMPUTED_VALUE"""),"No job type data")</f>
        <v>No job type data</v>
      </c>
      <c r="L743" s="7" t="str">
        <f>IFERROR(__xludf.DUMMYFUNCTION("""COMPUTED_VALUE"""),"3,8")</f>
        <v>3,8</v>
      </c>
      <c r="M743" s="7"/>
      <c r="N743" s="7"/>
      <c r="O743" s="7"/>
    </row>
    <row r="744">
      <c r="A744" s="29">
        <f>IFERROR(__xludf.DUMMYFUNCTION("""COMPUTED_VALUE"""),740.0)</f>
        <v>740</v>
      </c>
      <c r="B744" s="7" t="str">
        <f>IFERROR(__xludf.DUMMYFUNCTION("""COMPUTED_VALUE"""),"vor 24 Tagen")</f>
        <v>vor 24 Tagen</v>
      </c>
      <c r="C744" s="7" t="str">
        <f>IFERROR(__xludf.DUMMYFUNCTION("""COMPUTED_VALUE"""),"Consultant Data Science (m/w/d)")</f>
        <v>Consultant Data Science (m/w/d)</v>
      </c>
      <c r="D744" s="7" t="str">
        <f>IFERROR(__xludf.DUMMYFUNCTION("""COMPUTED_VALUE"""),"Heidelberg")</f>
        <v>Heidelberg</v>
      </c>
      <c r="E744" s="7" t="str">
        <f>IFERROR(__xludf.DUMMYFUNCTION("""COMPUTED_VALUE"""),"accantec group")</f>
        <v>accantec group</v>
      </c>
      <c r="F744" s="7" t="str">
        <f>IFERROR(__xludf.DUMMYFUNCTION("""COMPUTED_VALUE"""),"None")</f>
        <v>None</v>
      </c>
      <c r="G744" s="7" t="str">
        <f>IFERROR(__xludf.DUMMYFUNCTION("""COMPUTED_VALUE"""),"No salary data")</f>
        <v>No salary data</v>
      </c>
      <c r="H744" s="7" t="str">
        <f>IFERROR(__xludf.DUMMYFUNCTION("""COMPUTED_VALUE"""),"No salary data")</f>
        <v>No salary data</v>
      </c>
      <c r="I744" s="7" t="str">
        <f>IFERROR(__xludf.DUMMYFUNCTION("""COMPUTED_VALUE"""),"No salary data")</f>
        <v>No salary data</v>
      </c>
      <c r="J744" s="7" t="str">
        <f>IFERROR(__xludf.DUMMYFUNCTION("""COMPUTED_VALUE"""),"Python, SQL, Tableau, Machine Learning, Agile")</f>
        <v>Python, SQL, Tableau, Machine Learning, Agile</v>
      </c>
      <c r="K744" s="7" t="str">
        <f>IFERROR(__xludf.DUMMYFUNCTION("""COMPUTED_VALUE"""),"No job type data")</f>
        <v>No job type data</v>
      </c>
      <c r="L744" s="7" t="str">
        <f>IFERROR(__xludf.DUMMYFUNCTION("""COMPUTED_VALUE"""),"None")</f>
        <v>None</v>
      </c>
      <c r="M744" s="7"/>
      <c r="N744" s="7"/>
      <c r="O744" s="7"/>
    </row>
    <row r="745">
      <c r="A745" s="29">
        <f>IFERROR(__xludf.DUMMYFUNCTION("""COMPUTED_VALUE"""),741.0)</f>
        <v>741</v>
      </c>
      <c r="B745" s="7" t="str">
        <f>IFERROR(__xludf.DUMMYFUNCTION("""COMPUTED_VALUE"""),"Vor mehr als 30 Tagen")</f>
        <v>Vor mehr als 30 Tagen</v>
      </c>
      <c r="C745" s="7" t="str">
        <f>IFERROR(__xludf.DUMMYFUNCTION("""COMPUTED_VALUE"""),"(Junior) Customer Data Scientist (m/w/d)")</f>
        <v>(Junior) Customer Data Scientist (m/w/d)</v>
      </c>
      <c r="D745" s="7" t="str">
        <f>IFERROR(__xludf.DUMMYFUNCTION("""COMPUTED_VALUE"""),"Köln")</f>
        <v>Köln</v>
      </c>
      <c r="E745" s="7" t="str">
        <f>IFERROR(__xludf.DUMMYFUNCTION("""COMPUTED_VALUE"""),"msg systems")</f>
        <v>msg systems</v>
      </c>
      <c r="F745" s="7" t="str">
        <f>IFERROR(__xludf.DUMMYFUNCTION("""COMPUTED_VALUE"""),"None")</f>
        <v>None</v>
      </c>
      <c r="G745" s="7" t="str">
        <f>IFERROR(__xludf.DUMMYFUNCTION("""COMPUTED_VALUE"""),"No salary data")</f>
        <v>No salary data</v>
      </c>
      <c r="H745" s="7" t="str">
        <f>IFERROR(__xludf.DUMMYFUNCTION("""COMPUTED_VALUE"""),"No salary data")</f>
        <v>No salary data</v>
      </c>
      <c r="I745" s="7" t="str">
        <f>IFERROR(__xludf.DUMMYFUNCTION("""COMPUTED_VALUE"""),"No salary data")</f>
        <v>No salary data</v>
      </c>
      <c r="J745" s="7"/>
      <c r="K745" s="7" t="str">
        <f>IFERROR(__xludf.DUMMYFUNCTION("""COMPUTED_VALUE"""),"No job type data")</f>
        <v>No job type data</v>
      </c>
      <c r="L745" s="7" t="str">
        <f>IFERROR(__xludf.DUMMYFUNCTION("""COMPUTED_VALUE"""),"4,6")</f>
        <v>4,6</v>
      </c>
      <c r="M745" s="7"/>
      <c r="N745" s="7"/>
      <c r="O745" s="7"/>
    </row>
    <row r="746">
      <c r="A746" s="29">
        <f>IFERROR(__xludf.DUMMYFUNCTION("""COMPUTED_VALUE"""),742.0)</f>
        <v>742</v>
      </c>
      <c r="B746" s="7" t="str">
        <f>IFERROR(__xludf.DUMMYFUNCTION("""COMPUTED_VALUE"""),"vor 13 Tagen")</f>
        <v>vor 13 Tagen</v>
      </c>
      <c r="C746" s="7" t="str">
        <f>IFERROR(__xludf.DUMMYFUNCTION("""COMPUTED_VALUE"""),"Working Student: Data Science")</f>
        <v>Working Student: Data Science</v>
      </c>
      <c r="D746" s="7" t="str">
        <f>IFERROR(__xludf.DUMMYFUNCTION("""COMPUTED_VALUE"""),"Hamburg")</f>
        <v>Hamburg</v>
      </c>
      <c r="E746" s="7" t="str">
        <f>IFERROR(__xludf.DUMMYFUNCTION("""COMPUTED_VALUE"""),"PANDA")</f>
        <v>PANDA</v>
      </c>
      <c r="F746" s="7" t="str">
        <f>IFERROR(__xludf.DUMMYFUNCTION("""COMPUTED_VALUE"""),"None")</f>
        <v>None</v>
      </c>
      <c r="G746" s="7" t="str">
        <f>IFERROR(__xludf.DUMMYFUNCTION("""COMPUTED_VALUE"""),"No salary data")</f>
        <v>No salary data</v>
      </c>
      <c r="H746" s="7" t="str">
        <f>IFERROR(__xludf.DUMMYFUNCTION("""COMPUTED_VALUE"""),"No salary data")</f>
        <v>No salary data</v>
      </c>
      <c r="I746" s="7" t="str">
        <f>IFERROR(__xludf.DUMMYFUNCTION("""COMPUTED_VALUE"""),"No salary data")</f>
        <v>No salary data</v>
      </c>
      <c r="J746" s="7" t="str">
        <f>IFERROR(__xludf.DUMMYFUNCTION("""COMPUTED_VALUE"""),"Machine Learning")</f>
        <v>Machine Learning</v>
      </c>
      <c r="K746" s="7" t="str">
        <f>IFERROR(__xludf.DUMMYFUNCTION("""COMPUTED_VALUE"""),"No job type data")</f>
        <v>No job type data</v>
      </c>
      <c r="L746" s="7" t="str">
        <f>IFERROR(__xludf.DUMMYFUNCTION("""COMPUTED_VALUE"""),"None")</f>
        <v>None</v>
      </c>
      <c r="M746" s="7"/>
      <c r="N746" s="7"/>
      <c r="O746" s="7"/>
    </row>
    <row r="747">
      <c r="A747" s="29">
        <f>IFERROR(__xludf.DUMMYFUNCTION("""COMPUTED_VALUE"""),743.0)</f>
        <v>743</v>
      </c>
      <c r="B747" s="7" t="str">
        <f>IFERROR(__xludf.DUMMYFUNCTION("""COMPUTED_VALUE"""),"Vor mehr als 30 Tagen")</f>
        <v>Vor mehr als 30 Tagen</v>
      </c>
      <c r="C747" s="7" t="str">
        <f>IFERROR(__xludf.DUMMYFUNCTION("""COMPUTED_VALUE"""),"IT Business Analyst - DWH (f/m/x)")</f>
        <v>IT Business Analyst - DWH (f/m/x)</v>
      </c>
      <c r="D747" s="7" t="str">
        <f>IFERROR(__xludf.DUMMYFUNCTION("""COMPUTED_VALUE"""),"Deutschland")</f>
        <v>Deutschland</v>
      </c>
      <c r="E747" s="7" t="str">
        <f>IFERROR(__xludf.DUMMYFUNCTION("""COMPUTED_VALUE"""),"Raiffeisen Capital Management")</f>
        <v>Raiffeisen Capital Management</v>
      </c>
      <c r="F747" s="7" t="str">
        <f>IFERROR(__xludf.DUMMYFUNCTION("""COMPUTED_VALUE"""),"48,000 € pro Jahr")</f>
        <v>48,000 € pro Jahr</v>
      </c>
      <c r="G747" s="7">
        <f>IFERROR(__xludf.DUMMYFUNCTION("""COMPUTED_VALUE"""),48000.0)</f>
        <v>48000</v>
      </c>
      <c r="H747" s="7" t="str">
        <f>IFERROR(__xludf.DUMMYFUNCTION("""COMPUTED_VALUE"""),"Jahr")</f>
        <v>Jahr</v>
      </c>
      <c r="I747" s="7">
        <f>IFERROR(__xludf.DUMMYFUNCTION("""COMPUTED_VALUE"""),48000.0)</f>
        <v>48000</v>
      </c>
      <c r="J747" s="7" t="str">
        <f>IFERROR(__xludf.DUMMYFUNCTION("""COMPUTED_VALUE"""),"Git, Agile")</f>
        <v>Git, Agile</v>
      </c>
      <c r="K747" s="7" t="str">
        <f>IFERROR(__xludf.DUMMYFUNCTION("""COMPUTED_VALUE"""),"No job type data")</f>
        <v>No job type data</v>
      </c>
      <c r="L747" s="7" t="str">
        <f>IFERROR(__xludf.DUMMYFUNCTION("""COMPUTED_VALUE"""),"None")</f>
        <v>None</v>
      </c>
      <c r="M747" s="7"/>
      <c r="N747" s="7"/>
      <c r="O747" s="7"/>
    </row>
    <row r="748">
      <c r="A748" s="29">
        <f>IFERROR(__xludf.DUMMYFUNCTION("""COMPUTED_VALUE"""),744.0)</f>
        <v>744</v>
      </c>
      <c r="B748" s="7" t="str">
        <f>IFERROR(__xludf.DUMMYFUNCTION("""COMPUTED_VALUE"""),"Vor mehr als 30 Tagen")</f>
        <v>Vor mehr als 30 Tagen</v>
      </c>
      <c r="C748" s="7" t="str">
        <f>IFERROR(__xludf.DUMMYFUNCTION("""COMPUTED_VALUE"""),"Masterarbeit im Bereich Data Analytics")</f>
        <v>Masterarbeit im Bereich Data Analytics</v>
      </c>
      <c r="D748" s="7" t="str">
        <f>IFERROR(__xludf.DUMMYFUNCTION("""COMPUTED_VALUE"""),"Ratingen")</f>
        <v>Ratingen</v>
      </c>
      <c r="E748" s="7" t="str">
        <f>IFERROR(__xludf.DUMMYFUNCTION("""COMPUTED_VALUE"""),"MT")</f>
        <v>MT</v>
      </c>
      <c r="F748" s="7" t="str">
        <f>IFERROR(__xludf.DUMMYFUNCTION("""COMPUTED_VALUE"""),"None")</f>
        <v>None</v>
      </c>
      <c r="G748" s="7" t="str">
        <f>IFERROR(__xludf.DUMMYFUNCTION("""COMPUTED_VALUE"""),"No salary data")</f>
        <v>No salary data</v>
      </c>
      <c r="H748" s="7" t="str">
        <f>IFERROR(__xludf.DUMMYFUNCTION("""COMPUTED_VALUE"""),"No salary data")</f>
        <v>No salary data</v>
      </c>
      <c r="I748" s="7" t="str">
        <f>IFERROR(__xludf.DUMMYFUNCTION("""COMPUTED_VALUE"""),"No salary data")</f>
        <v>No salary data</v>
      </c>
      <c r="J748" s="7" t="str">
        <f>IFERROR(__xludf.DUMMYFUNCTION("""COMPUTED_VALUE"""),"Python, SQL, Machine Learning, Git")</f>
        <v>Python, SQL, Machine Learning, Git</v>
      </c>
      <c r="K748" s="7" t="str">
        <f>IFERROR(__xludf.DUMMYFUNCTION("""COMPUTED_VALUE"""),"No job type data")</f>
        <v>No job type data</v>
      </c>
      <c r="L748" s="7" t="str">
        <f>IFERROR(__xludf.DUMMYFUNCTION("""COMPUTED_VALUE"""),"None")</f>
        <v>None</v>
      </c>
      <c r="M748" s="7"/>
      <c r="N748" s="7"/>
      <c r="O748" s="7"/>
    </row>
    <row r="749">
      <c r="A749" s="29">
        <f>IFERROR(__xludf.DUMMYFUNCTION("""COMPUTED_VALUE"""),745.0)</f>
        <v>745</v>
      </c>
      <c r="B749" s="7" t="str">
        <f>IFERROR(__xludf.DUMMYFUNCTION("""COMPUTED_VALUE"""),"vor 4 Tagen")</f>
        <v>vor 4 Tagen</v>
      </c>
      <c r="C749" s="7" t="str">
        <f>IFERROR(__xludf.DUMMYFUNCTION("""COMPUTED_VALUE"""),"Research Scientist (m/f/d) - Intellectual Property Analyst")</f>
        <v>Research Scientist (m/f/d) - Intellectual Property Analyst</v>
      </c>
      <c r="D749" s="7" t="str">
        <f>IFERROR(__xludf.DUMMYFUNCTION("""COMPUTED_VALUE"""),"Göttingen")</f>
        <v>Göttingen</v>
      </c>
      <c r="E749" s="7" t="str">
        <f>IFERROR(__xludf.DUMMYFUNCTION("""COMPUTED_VALUE"""),"Evotec")</f>
        <v>Evotec</v>
      </c>
      <c r="F749" s="7" t="str">
        <f>IFERROR(__xludf.DUMMYFUNCTION("""COMPUTED_VALUE"""),"None")</f>
        <v>None</v>
      </c>
      <c r="G749" s="7" t="str">
        <f>IFERROR(__xludf.DUMMYFUNCTION("""COMPUTED_VALUE"""),"No salary data")</f>
        <v>No salary data</v>
      </c>
      <c r="H749" s="7" t="str">
        <f>IFERROR(__xludf.DUMMYFUNCTION("""COMPUTED_VALUE"""),"No salary data")</f>
        <v>No salary data</v>
      </c>
      <c r="I749" s="7" t="str">
        <f>IFERROR(__xludf.DUMMYFUNCTION("""COMPUTED_VALUE"""),"No salary data")</f>
        <v>No salary data</v>
      </c>
      <c r="J749" s="7"/>
      <c r="K749" s="7" t="str">
        <f>IFERROR(__xludf.DUMMYFUNCTION("""COMPUTED_VALUE"""),"Permanent")</f>
        <v>Permanent</v>
      </c>
      <c r="L749" s="7" t="str">
        <f>IFERROR(__xludf.DUMMYFUNCTION("""COMPUTED_VALUE"""),"None")</f>
        <v>None</v>
      </c>
      <c r="M749" s="7"/>
      <c r="N749" s="7"/>
      <c r="O749" s="7"/>
    </row>
    <row r="750">
      <c r="A750" s="29">
        <f>IFERROR(__xludf.DUMMYFUNCTION("""COMPUTED_VALUE"""),746.0)</f>
        <v>746</v>
      </c>
      <c r="B750" s="7" t="str">
        <f>IFERROR(__xludf.DUMMYFUNCTION("""COMPUTED_VALUE"""),"vor 13 Tagen")</f>
        <v>vor 13 Tagen</v>
      </c>
      <c r="C750" s="7" t="str">
        <f>IFERROR(__xludf.DUMMYFUNCTION("""COMPUTED_VALUE"""),"Data Engineer - DevOps (f/m/d)")</f>
        <v>Data Engineer - DevOps (f/m/d)</v>
      </c>
      <c r="D750" s="7" t="str">
        <f>IFERROR(__xludf.DUMMYFUNCTION("""COMPUTED_VALUE"""),"Hamburg")</f>
        <v>Hamburg</v>
      </c>
      <c r="E750" s="7" t="str">
        <f>IFERROR(__xludf.DUMMYFUNCTION("""COMPUTED_VALUE"""),"Aquila Group")</f>
        <v>Aquila Group</v>
      </c>
      <c r="F750" s="7" t="str">
        <f>IFERROR(__xludf.DUMMYFUNCTION("""COMPUTED_VALUE"""),"None")</f>
        <v>None</v>
      </c>
      <c r="G750" s="7" t="str">
        <f>IFERROR(__xludf.DUMMYFUNCTION("""COMPUTED_VALUE"""),"No salary data")</f>
        <v>No salary data</v>
      </c>
      <c r="H750" s="7" t="str">
        <f>IFERROR(__xludf.DUMMYFUNCTION("""COMPUTED_VALUE"""),"No salary data")</f>
        <v>No salary data</v>
      </c>
      <c r="I750" s="7" t="str">
        <f>IFERROR(__xludf.DUMMYFUNCTION("""COMPUTED_VALUE"""),"No salary data")</f>
        <v>No salary data</v>
      </c>
      <c r="J750" s="7" t="str">
        <f>IFERROR(__xludf.DUMMYFUNCTION("""COMPUTED_VALUE"""),"Python, SQL, Agile")</f>
        <v>Python, SQL, Agile</v>
      </c>
      <c r="K750" s="7" t="str">
        <f>IFERROR(__xludf.DUMMYFUNCTION("""COMPUTED_VALUE"""),"No job type data")</f>
        <v>No job type data</v>
      </c>
      <c r="L750" s="7" t="str">
        <f>IFERROR(__xludf.DUMMYFUNCTION("""COMPUTED_VALUE"""),"None")</f>
        <v>None</v>
      </c>
      <c r="M750" s="7"/>
      <c r="N750" s="7"/>
      <c r="O750" s="7"/>
    </row>
    <row r="751">
      <c r="A751" s="29">
        <f>IFERROR(__xludf.DUMMYFUNCTION("""COMPUTED_VALUE"""),747.0)</f>
        <v>747</v>
      </c>
      <c r="B751" s="7" t="str">
        <f>IFERROR(__xludf.DUMMYFUNCTION("""COMPUTED_VALUE"""),"Vor mehr als 30 Tagen")</f>
        <v>Vor mehr als 30 Tagen</v>
      </c>
      <c r="C751" s="7" t="str">
        <f>IFERROR(__xludf.DUMMYFUNCTION("""COMPUTED_VALUE"""),"Data-Analyst (m/w/d)")</f>
        <v>Data-Analyst (m/w/d)</v>
      </c>
      <c r="D751" s="7" t="str">
        <f>IFERROR(__xludf.DUMMYFUNCTION("""COMPUTED_VALUE"""),"Berlin")</f>
        <v>Berlin</v>
      </c>
      <c r="E751" s="7" t="str">
        <f>IFERROR(__xludf.DUMMYFUNCTION("""COMPUTED_VALUE"""),"HABA")</f>
        <v>HABA</v>
      </c>
      <c r="F751" s="7" t="str">
        <f>IFERROR(__xludf.DUMMYFUNCTION("""COMPUTED_VALUE"""),"None")</f>
        <v>None</v>
      </c>
      <c r="G751" s="7" t="str">
        <f>IFERROR(__xludf.DUMMYFUNCTION("""COMPUTED_VALUE"""),"No salary data")</f>
        <v>No salary data</v>
      </c>
      <c r="H751" s="7" t="str">
        <f>IFERROR(__xludf.DUMMYFUNCTION("""COMPUTED_VALUE"""),"No salary data")</f>
        <v>No salary data</v>
      </c>
      <c r="I751" s="7" t="str">
        <f>IFERROR(__xludf.DUMMYFUNCTION("""COMPUTED_VALUE"""),"No salary data")</f>
        <v>No salary data</v>
      </c>
      <c r="J751" s="7" t="str">
        <f>IFERROR(__xludf.DUMMYFUNCTION("""COMPUTED_VALUE"""),"Git, Agile")</f>
        <v>Git, Agile</v>
      </c>
      <c r="K751" s="7" t="str">
        <f>IFERROR(__xludf.DUMMYFUNCTION("""COMPUTED_VALUE"""),"No job type data")</f>
        <v>No job type data</v>
      </c>
      <c r="L751" s="7" t="str">
        <f>IFERROR(__xludf.DUMMYFUNCTION("""COMPUTED_VALUE"""),"None")</f>
        <v>None</v>
      </c>
      <c r="M751" s="7"/>
      <c r="N751" s="7"/>
      <c r="O751" s="7"/>
    </row>
    <row r="752">
      <c r="A752" s="29">
        <f>IFERROR(__xludf.DUMMYFUNCTION("""COMPUTED_VALUE"""),748.0)</f>
        <v>748</v>
      </c>
      <c r="B752" s="7" t="str">
        <f>IFERROR(__xludf.DUMMYFUNCTION("""COMPUTED_VALUE"""),"vor 25 Tagen")</f>
        <v>vor 25 Tagen</v>
      </c>
      <c r="C752" s="7" t="str">
        <f>IFERROR(__xludf.DUMMYFUNCTION("""COMPUTED_VALUE"""),"PhD Position (m/f/d) Analysis and data correlation for the m...")</f>
        <v>PhD Position (m/f/d) Analysis and data correlation for the m...</v>
      </c>
      <c r="D752" s="7" t="str">
        <f>IFERROR(__xludf.DUMMYFUNCTION("""COMPUTED_VALUE"""),"Geesthacht")</f>
        <v>Geesthacht</v>
      </c>
      <c r="E752" s="7" t="str">
        <f>IFERROR(__xludf.DUMMYFUNCTION("""COMPUTED_VALUE"""),"Helmholtz-Zentrum Geesthacht Zentrum für Material-...")</f>
        <v>Helmholtz-Zentrum Geesthacht Zentrum für Material-...</v>
      </c>
      <c r="F752" s="7" t="str">
        <f>IFERROR(__xludf.DUMMYFUNCTION("""COMPUTED_VALUE"""),"None")</f>
        <v>None</v>
      </c>
      <c r="G752" s="7" t="str">
        <f>IFERROR(__xludf.DUMMYFUNCTION("""COMPUTED_VALUE"""),"No salary data")</f>
        <v>No salary data</v>
      </c>
      <c r="H752" s="7" t="str">
        <f>IFERROR(__xludf.DUMMYFUNCTION("""COMPUTED_VALUE"""),"No salary data")</f>
        <v>No salary data</v>
      </c>
      <c r="I752" s="7" t="str">
        <f>IFERROR(__xludf.DUMMYFUNCTION("""COMPUTED_VALUE"""),"No salary data")</f>
        <v>No salary data</v>
      </c>
      <c r="J752" s="7" t="str">
        <f>IFERROR(__xludf.DUMMYFUNCTION("""COMPUTED_VALUE"""),"Excel, Machine Learning")</f>
        <v>Excel, Machine Learning</v>
      </c>
      <c r="K752" s="7" t="str">
        <f>IFERROR(__xludf.DUMMYFUNCTION("""COMPUTED_VALUE"""),"No job type data")</f>
        <v>No job type data</v>
      </c>
      <c r="L752" s="7" t="str">
        <f>IFERROR(__xludf.DUMMYFUNCTION("""COMPUTED_VALUE"""),"None")</f>
        <v>None</v>
      </c>
      <c r="M752" s="7"/>
      <c r="N752" s="7"/>
      <c r="O752" s="7"/>
    </row>
    <row r="753">
      <c r="A753" s="29">
        <f>IFERROR(__xludf.DUMMYFUNCTION("""COMPUTED_VALUE"""),749.0)</f>
        <v>749</v>
      </c>
      <c r="B753" s="7" t="str">
        <f>IFERROR(__xludf.DUMMYFUNCTION("""COMPUTED_VALUE"""),"Vor mehr als 30 Tagen")</f>
        <v>Vor mehr als 30 Tagen</v>
      </c>
      <c r="C753" s="7" t="str">
        <f>IFERROR(__xludf.DUMMYFUNCTION("""COMPUTED_VALUE"""),"Data Centre Technician")</f>
        <v>Data Centre Technician</v>
      </c>
      <c r="D753" s="7" t="str">
        <f>IFERROR(__xludf.DUMMYFUNCTION("""COMPUTED_VALUE"""),"Nordrhein-Westfalen")</f>
        <v>Nordrhein-Westfalen</v>
      </c>
      <c r="E753" s="7" t="str">
        <f>IFERROR(__xludf.DUMMYFUNCTION("""COMPUTED_VALUE"""),"NTT America Inc.")</f>
        <v>NTT America Inc.</v>
      </c>
      <c r="F753" s="7" t="str">
        <f>IFERROR(__xludf.DUMMYFUNCTION("""COMPUTED_VALUE"""),"None")</f>
        <v>None</v>
      </c>
      <c r="G753" s="7" t="str">
        <f>IFERROR(__xludf.DUMMYFUNCTION("""COMPUTED_VALUE"""),"No salary data")</f>
        <v>No salary data</v>
      </c>
      <c r="H753" s="7" t="str">
        <f>IFERROR(__xludf.DUMMYFUNCTION("""COMPUTED_VALUE"""),"No salary data")</f>
        <v>No salary data</v>
      </c>
      <c r="I753" s="7" t="str">
        <f>IFERROR(__xludf.DUMMYFUNCTION("""COMPUTED_VALUE"""),"No salary data")</f>
        <v>No salary data</v>
      </c>
      <c r="J753" s="7" t="str">
        <f>IFERROR(__xludf.DUMMYFUNCTION("""COMPUTED_VALUE"""),"Excel")</f>
        <v>Excel</v>
      </c>
      <c r="K753" s="7" t="str">
        <f>IFERROR(__xludf.DUMMYFUNCTION("""COMPUTED_VALUE"""),"No job type data")</f>
        <v>No job type data</v>
      </c>
      <c r="L753" s="7" t="str">
        <f>IFERROR(__xludf.DUMMYFUNCTION("""COMPUTED_VALUE"""),"None")</f>
        <v>None</v>
      </c>
      <c r="M753" s="7"/>
      <c r="N753" s="7"/>
      <c r="O753" s="7"/>
    </row>
    <row r="754">
      <c r="A754" s="29">
        <f>IFERROR(__xludf.DUMMYFUNCTION("""COMPUTED_VALUE"""),750.0)</f>
        <v>750</v>
      </c>
      <c r="B754" s="7" t="str">
        <f>IFERROR(__xludf.DUMMYFUNCTION("""COMPUTED_VALUE"""),"vor 4 Tagen")</f>
        <v>vor 4 Tagen</v>
      </c>
      <c r="C754" s="7" t="str">
        <f>IFERROR(__xludf.DUMMYFUNCTION("""COMPUTED_VALUE"""),"Venture Analyst")</f>
        <v>Venture Analyst</v>
      </c>
      <c r="D754" s="7" t="str">
        <f>IFERROR(__xludf.DUMMYFUNCTION("""COMPUTED_VALUE"""),"Berlin")</f>
        <v>Berlin</v>
      </c>
      <c r="E754" s="7" t="str">
        <f>IFERROR(__xludf.DUMMYFUNCTION("""COMPUTED_VALUE"""),"GlassDollar")</f>
        <v>GlassDollar</v>
      </c>
      <c r="F754" s="7" t="str">
        <f>IFERROR(__xludf.DUMMYFUNCTION("""COMPUTED_VALUE"""),"None")</f>
        <v>None</v>
      </c>
      <c r="G754" s="7" t="str">
        <f>IFERROR(__xludf.DUMMYFUNCTION("""COMPUTED_VALUE"""),"No salary data")</f>
        <v>No salary data</v>
      </c>
      <c r="H754" s="7" t="str">
        <f>IFERROR(__xludf.DUMMYFUNCTION("""COMPUTED_VALUE"""),"No salary data")</f>
        <v>No salary data</v>
      </c>
      <c r="I754" s="7" t="str">
        <f>IFERROR(__xludf.DUMMYFUNCTION("""COMPUTED_VALUE"""),"No salary data")</f>
        <v>No salary data</v>
      </c>
      <c r="J754" s="7"/>
      <c r="K754" s="7" t="str">
        <f>IFERROR(__xludf.DUMMYFUNCTION("""COMPUTED_VALUE"""),"No job type data")</f>
        <v>No job type data</v>
      </c>
      <c r="L754" s="7" t="str">
        <f>IFERROR(__xludf.DUMMYFUNCTION("""COMPUTED_VALUE"""),"None")</f>
        <v>None</v>
      </c>
      <c r="M754" s="7"/>
      <c r="N754" s="7"/>
      <c r="O754" s="7"/>
    </row>
    <row r="755">
      <c r="A755" s="29">
        <f>IFERROR(__xludf.DUMMYFUNCTION("""COMPUTED_VALUE"""),751.0)</f>
        <v>751</v>
      </c>
      <c r="B755" s="7" t="str">
        <f>IFERROR(__xludf.DUMMYFUNCTION("""COMPUTED_VALUE"""),"Vor mehr als 30 Tagen")</f>
        <v>Vor mehr als 30 Tagen</v>
      </c>
      <c r="C755" s="7" t="str">
        <f>IFERROR(__xludf.DUMMYFUNCTION("""COMPUTED_VALUE"""),"Data Scientist (gn)")</f>
        <v>Data Scientist (gn)</v>
      </c>
      <c r="D755" s="7" t="str">
        <f>IFERROR(__xludf.DUMMYFUNCTION("""COMPUTED_VALUE"""),"Ottobrunn")</f>
        <v>Ottobrunn</v>
      </c>
      <c r="E755" s="7" t="str">
        <f>IFERROR(__xludf.DUMMYFUNCTION("""COMPUTED_VALUE"""),"IABG")</f>
        <v>IABG</v>
      </c>
      <c r="F755" s="7" t="str">
        <f>IFERROR(__xludf.DUMMYFUNCTION("""COMPUTED_VALUE"""),"None")</f>
        <v>None</v>
      </c>
      <c r="G755" s="7" t="str">
        <f>IFERROR(__xludf.DUMMYFUNCTION("""COMPUTED_VALUE"""),"No salary data")</f>
        <v>No salary data</v>
      </c>
      <c r="H755" s="7" t="str">
        <f>IFERROR(__xludf.DUMMYFUNCTION("""COMPUTED_VALUE"""),"No salary data")</f>
        <v>No salary data</v>
      </c>
      <c r="I755" s="7" t="str">
        <f>IFERROR(__xludf.DUMMYFUNCTION("""COMPUTED_VALUE"""),"No salary data")</f>
        <v>No salary data</v>
      </c>
      <c r="J755" s="7" t="str">
        <f>IFERROR(__xludf.DUMMYFUNCTION("""COMPUTED_VALUE"""),"Python, Machine Learning, Agile")</f>
        <v>Python, Machine Learning, Agile</v>
      </c>
      <c r="K755" s="7" t="str">
        <f>IFERROR(__xludf.DUMMYFUNCTION("""COMPUTED_VALUE"""),"No job type data")</f>
        <v>No job type data</v>
      </c>
      <c r="L755" s="7" t="str">
        <f>IFERROR(__xludf.DUMMYFUNCTION("""COMPUTED_VALUE"""),"None")</f>
        <v>None</v>
      </c>
      <c r="M755" s="7"/>
      <c r="N755" s="7"/>
      <c r="O755" s="7"/>
    </row>
    <row r="756">
      <c r="A756" s="29">
        <f>IFERROR(__xludf.DUMMYFUNCTION("""COMPUTED_VALUE"""),752.0)</f>
        <v>752</v>
      </c>
      <c r="B756" s="7" t="str">
        <f>IFERROR(__xludf.DUMMYFUNCTION("""COMPUTED_VALUE"""),"vor 28 Tagen")</f>
        <v>vor 28 Tagen</v>
      </c>
      <c r="C756" s="7" t="str">
        <f>IFERROR(__xludf.DUMMYFUNCTION("""COMPUTED_VALUE"""),"Data Scientist")</f>
        <v>Data Scientist</v>
      </c>
      <c r="D756" s="7" t="str">
        <f>IFERROR(__xludf.DUMMYFUNCTION("""COMPUTED_VALUE"""),"München")</f>
        <v>München</v>
      </c>
      <c r="E756" s="7" t="str">
        <f>IFERROR(__xludf.DUMMYFUNCTION("""COMPUTED_VALUE"""),"Alldus")</f>
        <v>Alldus</v>
      </c>
      <c r="F756" s="7" t="str">
        <f>IFERROR(__xludf.DUMMYFUNCTION("""COMPUTED_VALUE"""),"None")</f>
        <v>None</v>
      </c>
      <c r="G756" s="7" t="str">
        <f>IFERROR(__xludf.DUMMYFUNCTION("""COMPUTED_VALUE"""),"No salary data")</f>
        <v>No salary data</v>
      </c>
      <c r="H756" s="7" t="str">
        <f>IFERROR(__xludf.DUMMYFUNCTION("""COMPUTED_VALUE"""),"No salary data")</f>
        <v>No salary data</v>
      </c>
      <c r="I756" s="7" t="str">
        <f>IFERROR(__xludf.DUMMYFUNCTION("""COMPUTED_VALUE"""),"No salary data")</f>
        <v>No salary data</v>
      </c>
      <c r="J756" s="7" t="str">
        <f>IFERROR(__xludf.DUMMYFUNCTION("""COMPUTED_VALUE"""),"Python, Machine Learning")</f>
        <v>Python, Machine Learning</v>
      </c>
      <c r="K756" s="7" t="str">
        <f>IFERROR(__xludf.DUMMYFUNCTION("""COMPUTED_VALUE"""),"Permanent")</f>
        <v>Permanent</v>
      </c>
      <c r="L756" s="7" t="str">
        <f>IFERROR(__xludf.DUMMYFUNCTION("""COMPUTED_VALUE"""),"None")</f>
        <v>None</v>
      </c>
      <c r="M756" s="7"/>
      <c r="N756" s="7"/>
      <c r="O756" s="7"/>
    </row>
    <row r="757">
      <c r="A757" s="29">
        <f>IFERROR(__xludf.DUMMYFUNCTION("""COMPUTED_VALUE"""),753.0)</f>
        <v>753</v>
      </c>
      <c r="B757" s="7" t="str">
        <f>IFERROR(__xludf.DUMMYFUNCTION("""COMPUTED_VALUE"""),"Vor mehr als 30 Tagen")</f>
        <v>Vor mehr als 30 Tagen</v>
      </c>
      <c r="C757" s="7" t="str">
        <f>IFERROR(__xludf.DUMMYFUNCTION("""COMPUTED_VALUE"""),"Scientist - Data Science for Accelerator Controls")</f>
        <v>Scientist - Data Science for Accelerator Controls</v>
      </c>
      <c r="D757" s="7" t="str">
        <f>IFERROR(__xludf.DUMMYFUNCTION("""COMPUTED_VALUE"""),"Hamburg")</f>
        <v>Hamburg</v>
      </c>
      <c r="E757" s="7" t="str">
        <f>IFERROR(__xludf.DUMMYFUNCTION("""COMPUTED_VALUE"""),"Deutsches Elektronen-Synchrotron DESY")</f>
        <v>Deutsches Elektronen-Synchrotron DESY</v>
      </c>
      <c r="F757" s="7" t="str">
        <f>IFERROR(__xludf.DUMMYFUNCTION("""COMPUTED_VALUE"""),"None")</f>
        <v>None</v>
      </c>
      <c r="G757" s="7" t="str">
        <f>IFERROR(__xludf.DUMMYFUNCTION("""COMPUTED_VALUE"""),"No salary data")</f>
        <v>No salary data</v>
      </c>
      <c r="H757" s="7" t="str">
        <f>IFERROR(__xludf.DUMMYFUNCTION("""COMPUTED_VALUE"""),"No salary data")</f>
        <v>No salary data</v>
      </c>
      <c r="I757" s="7" t="str">
        <f>IFERROR(__xludf.DUMMYFUNCTION("""COMPUTED_VALUE"""),"No salary data")</f>
        <v>No salary data</v>
      </c>
      <c r="J757" s="7" t="str">
        <f>IFERROR(__xludf.DUMMYFUNCTION("""COMPUTED_VALUE"""),"Excel, Machine Learning")</f>
        <v>Excel, Machine Learning</v>
      </c>
      <c r="K757" s="7" t="str">
        <f>IFERROR(__xludf.DUMMYFUNCTION("""COMPUTED_VALUE"""),"Part-Time")</f>
        <v>Part-Time</v>
      </c>
      <c r="L757" s="7" t="str">
        <f>IFERROR(__xludf.DUMMYFUNCTION("""COMPUTED_VALUE"""),"3,8")</f>
        <v>3,8</v>
      </c>
      <c r="M757" s="7"/>
      <c r="N757" s="7"/>
      <c r="O757" s="7"/>
    </row>
    <row r="758">
      <c r="A758" s="29">
        <f>IFERROR(__xludf.DUMMYFUNCTION("""COMPUTED_VALUE"""),754.0)</f>
        <v>754</v>
      </c>
      <c r="B758" s="7" t="str">
        <f>IFERROR(__xludf.DUMMYFUNCTION("""COMPUTED_VALUE"""),"Vor mehr als 30 Tagen")</f>
        <v>Vor mehr als 30 Tagen</v>
      </c>
      <c r="C758" s="7" t="str">
        <f>IFERROR(__xludf.DUMMYFUNCTION("""COMPUTED_VALUE"""),"WERKSTUDENT DATA SCIENCE (m/w/d)")</f>
        <v>WERKSTUDENT DATA SCIENCE (m/w/d)</v>
      </c>
      <c r="D758" s="7" t="str">
        <f>IFERROR(__xludf.DUMMYFUNCTION("""COMPUTED_VALUE"""),"Karlsruhe")</f>
        <v>Karlsruhe</v>
      </c>
      <c r="E758" s="7" t="str">
        <f>IFERROR(__xludf.DUMMYFUNCTION("""COMPUTED_VALUE"""),"virtual7 GmbH")</f>
        <v>virtual7 GmbH</v>
      </c>
      <c r="F758" s="7" t="str">
        <f>IFERROR(__xludf.DUMMYFUNCTION("""COMPUTED_VALUE"""),"None")</f>
        <v>None</v>
      </c>
      <c r="G758" s="7" t="str">
        <f>IFERROR(__xludf.DUMMYFUNCTION("""COMPUTED_VALUE"""),"No salary data")</f>
        <v>No salary data</v>
      </c>
      <c r="H758" s="7" t="str">
        <f>IFERROR(__xludf.DUMMYFUNCTION("""COMPUTED_VALUE"""),"No salary data")</f>
        <v>No salary data</v>
      </c>
      <c r="I758" s="7" t="str">
        <f>IFERROR(__xludf.DUMMYFUNCTION("""COMPUTED_VALUE"""),"No salary data")</f>
        <v>No salary data</v>
      </c>
      <c r="J758" s="7" t="str">
        <f>IFERROR(__xludf.DUMMYFUNCTION("""COMPUTED_VALUE"""),"Python, Machine Learning, Deep Learning, Git")</f>
        <v>Python, Machine Learning, Deep Learning, Git</v>
      </c>
      <c r="K758" s="7" t="str">
        <f>IFERROR(__xludf.DUMMYFUNCTION("""COMPUTED_VALUE"""),"No job type data")</f>
        <v>No job type data</v>
      </c>
      <c r="L758" s="7" t="str">
        <f>IFERROR(__xludf.DUMMYFUNCTION("""COMPUTED_VALUE"""),"None")</f>
        <v>None</v>
      </c>
      <c r="M758" s="7"/>
      <c r="N758" s="7"/>
      <c r="O758" s="7"/>
    </row>
    <row r="759">
      <c r="A759" s="29">
        <f>IFERROR(__xludf.DUMMYFUNCTION("""COMPUTED_VALUE"""),755.0)</f>
        <v>755</v>
      </c>
      <c r="B759" s="7" t="str">
        <f>IFERROR(__xludf.DUMMYFUNCTION("""COMPUTED_VALUE"""),"Vor mehr als 30 Tagen")</f>
        <v>Vor mehr als 30 Tagen</v>
      </c>
      <c r="C759" s="7" t="str">
        <f>IFERROR(__xludf.DUMMYFUNCTION("""COMPUTED_VALUE"""),"DATA ENGINEER (M/W/D)")</f>
        <v>DATA ENGINEER (M/W/D)</v>
      </c>
      <c r="D759" s="7" t="str">
        <f>IFERROR(__xludf.DUMMYFUNCTION("""COMPUTED_VALUE"""),"München")</f>
        <v>München</v>
      </c>
      <c r="E759" s="7" t="str">
        <f>IFERROR(__xludf.DUMMYFUNCTION("""COMPUTED_VALUE"""),"Digital Sonstige")</f>
        <v>Digital Sonstige</v>
      </c>
      <c r="F759" s="7" t="str">
        <f>IFERROR(__xludf.DUMMYFUNCTION("""COMPUTED_VALUE"""),"None")</f>
        <v>None</v>
      </c>
      <c r="G759" s="7" t="str">
        <f>IFERROR(__xludf.DUMMYFUNCTION("""COMPUTED_VALUE"""),"No salary data")</f>
        <v>No salary data</v>
      </c>
      <c r="H759" s="7" t="str">
        <f>IFERROR(__xludf.DUMMYFUNCTION("""COMPUTED_VALUE"""),"No salary data")</f>
        <v>No salary data</v>
      </c>
      <c r="I759" s="7" t="str">
        <f>IFERROR(__xludf.DUMMYFUNCTION("""COMPUTED_VALUE"""),"No salary data")</f>
        <v>No salary data</v>
      </c>
      <c r="J759" s="7" t="str">
        <f>IFERROR(__xludf.DUMMYFUNCTION("""COMPUTED_VALUE"""),"Python, Machine Learning, Git, Scrum")</f>
        <v>Python, Machine Learning, Git, Scrum</v>
      </c>
      <c r="K759" s="7" t="str">
        <f>IFERROR(__xludf.DUMMYFUNCTION("""COMPUTED_VALUE"""),"No job type data")</f>
        <v>No job type data</v>
      </c>
      <c r="L759" s="7" t="str">
        <f>IFERROR(__xludf.DUMMYFUNCTION("""COMPUTED_VALUE"""),"None")</f>
        <v>None</v>
      </c>
      <c r="M759" s="7"/>
      <c r="N759" s="7"/>
      <c r="O759" s="7"/>
    </row>
    <row r="760">
      <c r="A760" s="29">
        <f>IFERROR(__xludf.DUMMYFUNCTION("""COMPUTED_VALUE"""),756.0)</f>
        <v>756</v>
      </c>
      <c r="B760" s="7" t="str">
        <f>IFERROR(__xludf.DUMMYFUNCTION("""COMPUTED_VALUE"""),"Vor mehr als 30 Tagen")</f>
        <v>Vor mehr als 30 Tagen</v>
      </c>
      <c r="C760" s="7" t="str">
        <f>IFERROR(__xludf.DUMMYFUNCTION("""COMPUTED_VALUE"""),"Junior Data Management Consultant")</f>
        <v>Junior Data Management Consultant</v>
      </c>
      <c r="D760" s="7" t="str">
        <f>IFERROR(__xludf.DUMMYFUNCTION("""COMPUTED_VALUE"""),"München")</f>
        <v>München</v>
      </c>
      <c r="E760" s="7" t="str">
        <f>IFERROR(__xludf.DUMMYFUNCTION("""COMPUTED_VALUE"""),"SYNITI")</f>
        <v>SYNITI</v>
      </c>
      <c r="F760" s="7" t="str">
        <f>IFERROR(__xludf.DUMMYFUNCTION("""COMPUTED_VALUE"""),"None")</f>
        <v>None</v>
      </c>
      <c r="G760" s="7" t="str">
        <f>IFERROR(__xludf.DUMMYFUNCTION("""COMPUTED_VALUE"""),"No salary data")</f>
        <v>No salary data</v>
      </c>
      <c r="H760" s="7" t="str">
        <f>IFERROR(__xludf.DUMMYFUNCTION("""COMPUTED_VALUE"""),"No salary data")</f>
        <v>No salary data</v>
      </c>
      <c r="I760" s="7" t="str">
        <f>IFERROR(__xludf.DUMMYFUNCTION("""COMPUTED_VALUE"""),"No salary data")</f>
        <v>No salary data</v>
      </c>
      <c r="J760" s="7" t="str">
        <f>IFERROR(__xludf.DUMMYFUNCTION("""COMPUTED_VALUE"""),"SQL, Git")</f>
        <v>SQL, Git</v>
      </c>
      <c r="K760" s="7" t="str">
        <f>IFERROR(__xludf.DUMMYFUNCTION("""COMPUTED_VALUE"""),"No job type data")</f>
        <v>No job type data</v>
      </c>
      <c r="L760" s="7" t="str">
        <f>IFERROR(__xludf.DUMMYFUNCTION("""COMPUTED_VALUE"""),"None")</f>
        <v>None</v>
      </c>
      <c r="M760" s="7"/>
      <c r="N760" s="7"/>
      <c r="O760" s="7"/>
    </row>
    <row r="761">
      <c r="A761" s="29">
        <f>IFERROR(__xludf.DUMMYFUNCTION("""COMPUTED_VALUE"""),757.0)</f>
        <v>757</v>
      </c>
      <c r="B761" s="7" t="str">
        <f>IFERROR(__xludf.DUMMYFUNCTION("""COMPUTED_VALUE"""),"vor 7 Tagen")</f>
        <v>vor 7 Tagen</v>
      </c>
      <c r="C761" s="7" t="str">
        <f>IFERROR(__xludf.DUMMYFUNCTION("""COMPUTED_VALUE"""),"Data Manager/Analyst – Bioscience (m|f|d)")</f>
        <v>Data Manager/Analyst – Bioscience (m|f|d)</v>
      </c>
      <c r="D761" s="7" t="str">
        <f>IFERROR(__xludf.DUMMYFUNCTION("""COMPUTED_VALUE"""),"Bergisch Gladbach")</f>
        <v>Bergisch Gladbach</v>
      </c>
      <c r="E761" s="7" t="str">
        <f>IFERROR(__xludf.DUMMYFUNCTION("""COMPUTED_VALUE"""),"Miltenyi Biotec B.V. &amp; Co. KG")</f>
        <v>Miltenyi Biotec B.V. &amp; Co. KG</v>
      </c>
      <c r="F761" s="7" t="str">
        <f>IFERROR(__xludf.DUMMYFUNCTION("""COMPUTED_VALUE"""),"None")</f>
        <v>None</v>
      </c>
      <c r="G761" s="7" t="str">
        <f>IFERROR(__xludf.DUMMYFUNCTION("""COMPUTED_VALUE"""),"No salary data")</f>
        <v>No salary data</v>
      </c>
      <c r="H761" s="7" t="str">
        <f>IFERROR(__xludf.DUMMYFUNCTION("""COMPUTED_VALUE"""),"No salary data")</f>
        <v>No salary data</v>
      </c>
      <c r="I761" s="7" t="str">
        <f>IFERROR(__xludf.DUMMYFUNCTION("""COMPUTED_VALUE"""),"No salary data")</f>
        <v>No salary data</v>
      </c>
      <c r="J761" s="7" t="str">
        <f>IFERROR(__xludf.DUMMYFUNCTION("""COMPUTED_VALUE"""),"Python, Statistic, Scrum, Jira")</f>
        <v>Python, Statistic, Scrum, Jira</v>
      </c>
      <c r="K761" s="7" t="str">
        <f>IFERROR(__xludf.DUMMYFUNCTION("""COMPUTED_VALUE"""),"No job type data")</f>
        <v>No job type data</v>
      </c>
      <c r="L761" s="7" t="str">
        <f>IFERROR(__xludf.DUMMYFUNCTION("""COMPUTED_VALUE"""),"None")</f>
        <v>None</v>
      </c>
      <c r="M761" s="7"/>
      <c r="N761" s="7"/>
      <c r="O761" s="7"/>
    </row>
    <row r="762">
      <c r="A762" s="29">
        <f>IFERROR(__xludf.DUMMYFUNCTION("""COMPUTED_VALUE"""),758.0)</f>
        <v>758</v>
      </c>
      <c r="B762" s="7" t="str">
        <f>IFERROR(__xludf.DUMMYFUNCTION("""COMPUTED_VALUE"""),"vor 6 Tagen")</f>
        <v>vor 6 Tagen</v>
      </c>
      <c r="C762" s="7" t="str">
        <f>IFERROR(__xludf.DUMMYFUNCTION("""COMPUTED_VALUE"""),"Data Center Technician (m/f/d)")</f>
        <v>Data Center Technician (m/f/d)</v>
      </c>
      <c r="D762" s="7" t="str">
        <f>IFERROR(__xludf.DUMMYFUNCTION("""COMPUTED_VALUE"""),"Deutschland")</f>
        <v>Deutschland</v>
      </c>
      <c r="E762" s="7" t="str">
        <f>IFERROR(__xludf.DUMMYFUNCTION("""COMPUTED_VALUE"""),"Adecco")</f>
        <v>Adecco</v>
      </c>
      <c r="F762" s="7" t="str">
        <f>IFERROR(__xludf.DUMMYFUNCTION("""COMPUTED_VALUE"""),"None")</f>
        <v>None</v>
      </c>
      <c r="G762" s="7" t="str">
        <f>IFERROR(__xludf.DUMMYFUNCTION("""COMPUTED_VALUE"""),"No salary data")</f>
        <v>No salary data</v>
      </c>
      <c r="H762" s="7" t="str">
        <f>IFERROR(__xludf.DUMMYFUNCTION("""COMPUTED_VALUE"""),"No salary data")</f>
        <v>No salary data</v>
      </c>
      <c r="I762" s="7" t="str">
        <f>IFERROR(__xludf.DUMMYFUNCTION("""COMPUTED_VALUE"""),"No salary data")</f>
        <v>No salary data</v>
      </c>
      <c r="J762" s="7"/>
      <c r="K762" s="7" t="str">
        <f>IFERROR(__xludf.DUMMYFUNCTION("""COMPUTED_VALUE"""),"No job type data")</f>
        <v>No job type data</v>
      </c>
      <c r="L762" s="7" t="str">
        <f>IFERROR(__xludf.DUMMYFUNCTION("""COMPUTED_VALUE"""),"3,8")</f>
        <v>3,8</v>
      </c>
      <c r="M762" s="7"/>
      <c r="N762" s="7"/>
      <c r="O762" s="7"/>
    </row>
    <row r="763">
      <c r="A763" s="29">
        <f>IFERROR(__xludf.DUMMYFUNCTION("""COMPUTED_VALUE"""),759.0)</f>
        <v>759</v>
      </c>
      <c r="B763" s="7" t="str">
        <f>IFERROR(__xludf.DUMMYFUNCTION("""COMPUTED_VALUE"""),"Vor mehr als 30 Tagen")</f>
        <v>Vor mehr als 30 Tagen</v>
      </c>
      <c r="C763" s="7" t="str">
        <f>IFERROR(__xludf.DUMMYFUNCTION("""COMPUTED_VALUE"""),"Data Engineer (m/w/d)")</f>
        <v>Data Engineer (m/w/d)</v>
      </c>
      <c r="D763" s="7" t="str">
        <f>IFERROR(__xludf.DUMMYFUNCTION("""COMPUTED_VALUE"""),"Stuttgart")</f>
        <v>Stuttgart</v>
      </c>
      <c r="E763" s="7" t="str">
        <f>IFERROR(__xludf.DUMMYFUNCTION("""COMPUTED_VALUE"""),"cellent GmbH")</f>
        <v>cellent GmbH</v>
      </c>
      <c r="F763" s="7" t="str">
        <f>IFERROR(__xludf.DUMMYFUNCTION("""COMPUTED_VALUE"""),"None")</f>
        <v>None</v>
      </c>
      <c r="G763" s="7" t="str">
        <f>IFERROR(__xludf.DUMMYFUNCTION("""COMPUTED_VALUE"""),"No salary data")</f>
        <v>No salary data</v>
      </c>
      <c r="H763" s="7" t="str">
        <f>IFERROR(__xludf.DUMMYFUNCTION("""COMPUTED_VALUE"""),"No salary data")</f>
        <v>No salary data</v>
      </c>
      <c r="I763" s="7" t="str">
        <f>IFERROR(__xludf.DUMMYFUNCTION("""COMPUTED_VALUE"""),"No salary data")</f>
        <v>No salary data</v>
      </c>
      <c r="J763" s="7" t="str">
        <f>IFERROR(__xludf.DUMMYFUNCTION("""COMPUTED_VALUE"""),"Python, SQL, Machine Learning, Agile")</f>
        <v>Python, SQL, Machine Learning, Agile</v>
      </c>
      <c r="K763" s="7" t="str">
        <f>IFERROR(__xludf.DUMMYFUNCTION("""COMPUTED_VALUE"""),"No job type data")</f>
        <v>No job type data</v>
      </c>
      <c r="L763" s="7" t="str">
        <f>IFERROR(__xludf.DUMMYFUNCTION("""COMPUTED_VALUE"""),"None")</f>
        <v>None</v>
      </c>
      <c r="M763" s="7"/>
      <c r="N763" s="7"/>
      <c r="O763" s="7"/>
    </row>
    <row r="764">
      <c r="A764" s="29">
        <f>IFERROR(__xludf.DUMMYFUNCTION("""COMPUTED_VALUE"""),760.0)</f>
        <v>760</v>
      </c>
      <c r="B764" s="7" t="str">
        <f>IFERROR(__xludf.DUMMYFUNCTION("""COMPUTED_VALUE"""),"Vor mehr als 30 Tagen")</f>
        <v>Vor mehr als 30 Tagen</v>
      </c>
      <c r="C764" s="7" t="str">
        <f>IFERROR(__xludf.DUMMYFUNCTION("""COMPUTED_VALUE"""),"Werkstudent (m/w/d) – Data Engineering / Artificial Intellig...")</f>
        <v>Werkstudent (m/w/d) – Data Engineering / Artificial Intellig...</v>
      </c>
      <c r="D764" s="7" t="str">
        <f>IFERROR(__xludf.DUMMYFUNCTION("""COMPUTED_VALUE"""),"Darmstadt")</f>
        <v>Darmstadt</v>
      </c>
      <c r="E764" s="7" t="str">
        <f>IFERROR(__xludf.DUMMYFUNCTION("""COMPUTED_VALUE"""),"Synamic Technologies UG")</f>
        <v>Synamic Technologies UG</v>
      </c>
      <c r="F764" s="7" t="str">
        <f>IFERROR(__xludf.DUMMYFUNCTION("""COMPUTED_VALUE"""),"None")</f>
        <v>None</v>
      </c>
      <c r="G764" s="7" t="str">
        <f>IFERROR(__xludf.DUMMYFUNCTION("""COMPUTED_VALUE"""),"No salary data")</f>
        <v>No salary data</v>
      </c>
      <c r="H764" s="7" t="str">
        <f>IFERROR(__xludf.DUMMYFUNCTION("""COMPUTED_VALUE"""),"No salary data")</f>
        <v>No salary data</v>
      </c>
      <c r="I764" s="7" t="str">
        <f>IFERROR(__xludf.DUMMYFUNCTION("""COMPUTED_VALUE"""),"No salary data")</f>
        <v>No salary data</v>
      </c>
      <c r="J764" s="7" t="str">
        <f>IFERROR(__xludf.DUMMYFUNCTION("""COMPUTED_VALUE"""),"SQL, Machine Learning, Git")</f>
        <v>SQL, Machine Learning, Git</v>
      </c>
      <c r="K764" s="7" t="str">
        <f>IFERROR(__xludf.DUMMYFUNCTION("""COMPUTED_VALUE"""),"No job type data")</f>
        <v>No job type data</v>
      </c>
      <c r="L764" s="7" t="str">
        <f>IFERROR(__xludf.DUMMYFUNCTION("""COMPUTED_VALUE"""),"None")</f>
        <v>None</v>
      </c>
      <c r="M764" s="7"/>
      <c r="N764" s="7"/>
      <c r="O764" s="7"/>
    </row>
    <row r="765">
      <c r="A765" s="29">
        <f>IFERROR(__xludf.DUMMYFUNCTION("""COMPUTED_VALUE"""),761.0)</f>
        <v>761</v>
      </c>
      <c r="B765" s="7" t="str">
        <f>IFERROR(__xludf.DUMMYFUNCTION("""COMPUTED_VALUE"""),"Vor mehr als 30 Tagen")</f>
        <v>Vor mehr als 30 Tagen</v>
      </c>
      <c r="C765" s="7" t="str">
        <f>IFERROR(__xludf.DUMMYFUNCTION("""COMPUTED_VALUE"""),"Praktikum im Bereich Data Science")</f>
        <v>Praktikum im Bereich Data Science</v>
      </c>
      <c r="D765" s="7" t="str">
        <f>IFERROR(__xludf.DUMMYFUNCTION("""COMPUTED_VALUE"""),"Frankfurt am Main")</f>
        <v>Frankfurt am Main</v>
      </c>
      <c r="E765" s="7" t="str">
        <f>IFERROR(__xludf.DUMMYFUNCTION("""COMPUTED_VALUE"""),"Deutsche Bundesbank")</f>
        <v>Deutsche Bundesbank</v>
      </c>
      <c r="F765" s="7" t="str">
        <f>IFERROR(__xludf.DUMMYFUNCTION("""COMPUTED_VALUE"""),"None")</f>
        <v>None</v>
      </c>
      <c r="G765" s="7" t="str">
        <f>IFERROR(__xludf.DUMMYFUNCTION("""COMPUTED_VALUE"""),"No salary data")</f>
        <v>No salary data</v>
      </c>
      <c r="H765" s="7" t="str">
        <f>IFERROR(__xludf.DUMMYFUNCTION("""COMPUTED_VALUE"""),"No salary data")</f>
        <v>No salary data</v>
      </c>
      <c r="I765" s="7" t="str">
        <f>IFERROR(__xludf.DUMMYFUNCTION("""COMPUTED_VALUE"""),"No salary data")</f>
        <v>No salary data</v>
      </c>
      <c r="J765" s="7" t="str">
        <f>IFERROR(__xludf.DUMMYFUNCTION("""COMPUTED_VALUE"""),"Python, Machine Learning")</f>
        <v>Python, Machine Learning</v>
      </c>
      <c r="K765" s="7" t="str">
        <f>IFERROR(__xludf.DUMMYFUNCTION("""COMPUTED_VALUE"""),"No job type data")</f>
        <v>No job type data</v>
      </c>
      <c r="L765" s="7" t="str">
        <f>IFERROR(__xludf.DUMMYFUNCTION("""COMPUTED_VALUE"""),"4,2")</f>
        <v>4,2</v>
      </c>
      <c r="M765" s="7"/>
      <c r="N765" s="7"/>
      <c r="O765" s="7"/>
    </row>
    <row r="766">
      <c r="A766" s="29">
        <f>IFERROR(__xludf.DUMMYFUNCTION("""COMPUTED_VALUE"""),762.0)</f>
        <v>762</v>
      </c>
      <c r="B766" s="7" t="str">
        <f>IFERROR(__xludf.DUMMYFUNCTION("""COMPUTED_VALUE"""),"Vor mehr als 30 Tagen")</f>
        <v>Vor mehr als 30 Tagen</v>
      </c>
      <c r="C766" s="7" t="str">
        <f>IFERROR(__xludf.DUMMYFUNCTION("""COMPUTED_VALUE"""),"Data Warehouse Business Analyst in Voll- / Teilzeit (m/w/d)")</f>
        <v>Data Warehouse Business Analyst in Voll- / Teilzeit (m/w/d)</v>
      </c>
      <c r="D766" s="7" t="str">
        <f>IFERROR(__xludf.DUMMYFUNCTION("""COMPUTED_VALUE"""),"Hamburg")</f>
        <v>Hamburg</v>
      </c>
      <c r="E766" s="7" t="str">
        <f>IFERROR(__xludf.DUMMYFUNCTION("""COMPUTED_VALUE"""),"Steria")</f>
        <v>Steria</v>
      </c>
      <c r="F766" s="7" t="str">
        <f>IFERROR(__xludf.DUMMYFUNCTION("""COMPUTED_VALUE"""),"None")</f>
        <v>None</v>
      </c>
      <c r="G766" s="7" t="str">
        <f>IFERROR(__xludf.DUMMYFUNCTION("""COMPUTED_VALUE"""),"No salary data")</f>
        <v>No salary data</v>
      </c>
      <c r="H766" s="7" t="str">
        <f>IFERROR(__xludf.DUMMYFUNCTION("""COMPUTED_VALUE"""),"No salary data")</f>
        <v>No salary data</v>
      </c>
      <c r="I766" s="7" t="str">
        <f>IFERROR(__xludf.DUMMYFUNCTION("""COMPUTED_VALUE"""),"No salary data")</f>
        <v>No salary data</v>
      </c>
      <c r="J766" s="7"/>
      <c r="K766" s="7" t="str">
        <f>IFERROR(__xludf.DUMMYFUNCTION("""COMPUTED_VALUE"""),"No job type data")</f>
        <v>No job type data</v>
      </c>
      <c r="L766" s="7" t="str">
        <f>IFERROR(__xludf.DUMMYFUNCTION("""COMPUTED_VALUE"""),"3,5")</f>
        <v>3,5</v>
      </c>
      <c r="M766" s="7"/>
      <c r="N766" s="7"/>
      <c r="O766" s="7"/>
    </row>
    <row r="767">
      <c r="A767" s="29">
        <f>IFERROR(__xludf.DUMMYFUNCTION("""COMPUTED_VALUE"""),763.0)</f>
        <v>763</v>
      </c>
      <c r="B767" s="7" t="str">
        <f>IFERROR(__xludf.DUMMYFUNCTION("""COMPUTED_VALUE"""),"vor 21 Tagen")</f>
        <v>vor 21 Tagen</v>
      </c>
      <c r="C767" s="7" t="str">
        <f>IFERROR(__xludf.DUMMYFUNCTION("""COMPUTED_VALUE"""),"Wissenschaftliche/r Mitarbeiter/in Forschungsdatenmanagement...")</f>
        <v>Wissenschaftliche/r Mitarbeiter/in Forschungsdatenmanagement...</v>
      </c>
      <c r="D767" s="7" t="str">
        <f>IFERROR(__xludf.DUMMYFUNCTION("""COMPUTED_VALUE"""),"Köln")</f>
        <v>Köln</v>
      </c>
      <c r="E767" s="7" t="str">
        <f>IFERROR(__xludf.DUMMYFUNCTION("""COMPUTED_VALUE"""),"Universität zu Köln")</f>
        <v>Universität zu Köln</v>
      </c>
      <c r="F767" s="7" t="str">
        <f>IFERROR(__xludf.DUMMYFUNCTION("""COMPUTED_VALUE"""),"None")</f>
        <v>None</v>
      </c>
      <c r="G767" s="7" t="str">
        <f>IFERROR(__xludf.DUMMYFUNCTION("""COMPUTED_VALUE"""),"No salary data")</f>
        <v>No salary data</v>
      </c>
      <c r="H767" s="7" t="str">
        <f>IFERROR(__xludf.DUMMYFUNCTION("""COMPUTED_VALUE"""),"No salary data")</f>
        <v>No salary data</v>
      </c>
      <c r="I767" s="7" t="str">
        <f>IFERROR(__xludf.DUMMYFUNCTION("""COMPUTED_VALUE"""),"No salary data")</f>
        <v>No salary data</v>
      </c>
      <c r="J767" s="7"/>
      <c r="K767" s="7" t="str">
        <f>IFERROR(__xludf.DUMMYFUNCTION("""COMPUTED_VALUE"""),"No job type data")</f>
        <v>No job type data</v>
      </c>
      <c r="L767" s="7" t="str">
        <f>IFERROR(__xludf.DUMMYFUNCTION("""COMPUTED_VALUE"""),"4,1")</f>
        <v>4,1</v>
      </c>
      <c r="M767" s="7"/>
      <c r="N767" s="7"/>
      <c r="O767" s="7"/>
    </row>
    <row r="768">
      <c r="A768" s="29">
        <f>IFERROR(__xludf.DUMMYFUNCTION("""COMPUTED_VALUE"""),764.0)</f>
        <v>764</v>
      </c>
      <c r="B768" s="7" t="str">
        <f>IFERROR(__xludf.DUMMYFUNCTION("""COMPUTED_VALUE"""),"vor 10 Tagen")</f>
        <v>vor 10 Tagen</v>
      </c>
      <c r="C768" s="7" t="str">
        <f>IFERROR(__xludf.DUMMYFUNCTION("""COMPUTED_VALUE"""),"Operator (d/f/m) - highly flexible freelancer for Esports Da...")</f>
        <v>Operator (d/f/m) - highly flexible freelancer for Esports Da...</v>
      </c>
      <c r="D768" s="7" t="str">
        <f>IFERROR(__xludf.DUMMYFUNCTION("""COMPUTED_VALUE"""),"Berlin")</f>
        <v>Berlin</v>
      </c>
      <c r="E768" s="7" t="str">
        <f>IFERROR(__xludf.DUMMYFUNCTION("""COMPUTED_VALUE"""),"Bayes Esports")</f>
        <v>Bayes Esports</v>
      </c>
      <c r="F768" s="7" t="str">
        <f>IFERROR(__xludf.DUMMYFUNCTION("""COMPUTED_VALUE"""),"11 € pro Stunde")</f>
        <v>11 € pro Stunde</v>
      </c>
      <c r="G768" s="7">
        <f>IFERROR(__xludf.DUMMYFUNCTION("""COMPUTED_VALUE"""),11.0)</f>
        <v>11</v>
      </c>
      <c r="H768" s="7" t="str">
        <f>IFERROR(__xludf.DUMMYFUNCTION("""COMPUTED_VALUE"""),"Stunde")</f>
        <v>Stunde</v>
      </c>
      <c r="I768" s="7">
        <f>IFERROR(__xludf.DUMMYFUNCTION("""COMPUTED_VALUE"""),23232.0)</f>
        <v>23232</v>
      </c>
      <c r="J768" s="7" t="str">
        <f>IFERROR(__xludf.DUMMYFUNCTION("""COMPUTED_VALUE"""),"Machine Learning, Agile")</f>
        <v>Machine Learning, Agile</v>
      </c>
      <c r="K768" s="7" t="str">
        <f>IFERROR(__xludf.DUMMYFUNCTION("""COMPUTED_VALUE"""),"Contract")</f>
        <v>Contract</v>
      </c>
      <c r="L768" s="7" t="str">
        <f>IFERROR(__xludf.DUMMYFUNCTION("""COMPUTED_VALUE"""),"None")</f>
        <v>None</v>
      </c>
      <c r="M768" s="7"/>
      <c r="N768" s="7"/>
      <c r="O768" s="7"/>
    </row>
    <row r="769">
      <c r="A769" s="29">
        <f>IFERROR(__xludf.DUMMYFUNCTION("""COMPUTED_VALUE"""),765.0)</f>
        <v>765</v>
      </c>
      <c r="B769" s="7" t="str">
        <f>IFERROR(__xludf.DUMMYFUNCTION("""COMPUTED_VALUE"""),"Vor mehr als 30 Tagen")</f>
        <v>Vor mehr als 30 Tagen</v>
      </c>
      <c r="C769" s="7" t="str">
        <f>IFERROR(__xludf.DUMMYFUNCTION("""COMPUTED_VALUE"""),"Junior-Anforderungsmanager (m/w/d) Schwerpunkt Data Warehous...")</f>
        <v>Junior-Anforderungsmanager (m/w/d) Schwerpunkt Data Warehous...</v>
      </c>
      <c r="D769" s="7" t="str">
        <f>IFERROR(__xludf.DUMMYFUNCTION("""COMPUTED_VALUE"""),"Bad Vilbel")</f>
        <v>Bad Vilbel</v>
      </c>
      <c r="E769" s="7" t="str">
        <f>IFERROR(__xludf.DUMMYFUNCTION("""COMPUTED_VALUE"""),"Deutsche Leasing AG")</f>
        <v>Deutsche Leasing AG</v>
      </c>
      <c r="F769" s="7" t="str">
        <f>IFERROR(__xludf.DUMMYFUNCTION("""COMPUTED_VALUE"""),"None")</f>
        <v>None</v>
      </c>
      <c r="G769" s="7" t="str">
        <f>IFERROR(__xludf.DUMMYFUNCTION("""COMPUTED_VALUE"""),"No salary data")</f>
        <v>No salary data</v>
      </c>
      <c r="H769" s="7" t="str">
        <f>IFERROR(__xludf.DUMMYFUNCTION("""COMPUTED_VALUE"""),"No salary data")</f>
        <v>No salary data</v>
      </c>
      <c r="I769" s="7" t="str">
        <f>IFERROR(__xludf.DUMMYFUNCTION("""COMPUTED_VALUE"""),"No salary data")</f>
        <v>No salary data</v>
      </c>
      <c r="J769" s="7" t="str">
        <f>IFERROR(__xludf.DUMMYFUNCTION("""COMPUTED_VALUE"""),"Agile")</f>
        <v>Agile</v>
      </c>
      <c r="K769" s="7" t="str">
        <f>IFERROR(__xludf.DUMMYFUNCTION("""COMPUTED_VALUE"""),"No job type data")</f>
        <v>No job type data</v>
      </c>
      <c r="L769" s="7" t="str">
        <f>IFERROR(__xludf.DUMMYFUNCTION("""COMPUTED_VALUE"""),"None")</f>
        <v>None</v>
      </c>
      <c r="M769" s="7"/>
      <c r="N769" s="7"/>
      <c r="O769" s="7"/>
    </row>
    <row r="770">
      <c r="A770" s="29">
        <f>IFERROR(__xludf.DUMMYFUNCTION("""COMPUTED_VALUE"""),766.0)</f>
        <v>766</v>
      </c>
      <c r="B770" s="7" t="str">
        <f>IFERROR(__xludf.DUMMYFUNCTION("""COMPUTED_VALUE"""),"Vor mehr als 30 Tagen")</f>
        <v>Vor mehr als 30 Tagen</v>
      </c>
      <c r="C770" s="7" t="str">
        <f>IFERROR(__xludf.DUMMYFUNCTION("""COMPUTED_VALUE"""),"Data Scientist (gn)")</f>
        <v>Data Scientist (gn)</v>
      </c>
      <c r="D770" s="7" t="str">
        <f>IFERROR(__xludf.DUMMYFUNCTION("""COMPUTED_VALUE"""),"Ottobrunn")</f>
        <v>Ottobrunn</v>
      </c>
      <c r="E770" s="7" t="str">
        <f>IFERROR(__xludf.DUMMYFUNCTION("""COMPUTED_VALUE"""),"IABG")</f>
        <v>IABG</v>
      </c>
      <c r="F770" s="7" t="str">
        <f>IFERROR(__xludf.DUMMYFUNCTION("""COMPUTED_VALUE"""),"None")</f>
        <v>None</v>
      </c>
      <c r="G770" s="7" t="str">
        <f>IFERROR(__xludf.DUMMYFUNCTION("""COMPUTED_VALUE"""),"No salary data")</f>
        <v>No salary data</v>
      </c>
      <c r="H770" s="7" t="str">
        <f>IFERROR(__xludf.DUMMYFUNCTION("""COMPUTED_VALUE"""),"No salary data")</f>
        <v>No salary data</v>
      </c>
      <c r="I770" s="7" t="str">
        <f>IFERROR(__xludf.DUMMYFUNCTION("""COMPUTED_VALUE"""),"No salary data")</f>
        <v>No salary data</v>
      </c>
      <c r="J770" s="7" t="str">
        <f>IFERROR(__xludf.DUMMYFUNCTION("""COMPUTED_VALUE"""),"Python, Machine Learning, Deep Learning")</f>
        <v>Python, Machine Learning, Deep Learning</v>
      </c>
      <c r="K770" s="7" t="str">
        <f>IFERROR(__xludf.DUMMYFUNCTION("""COMPUTED_VALUE"""),"No job type data")</f>
        <v>No job type data</v>
      </c>
      <c r="L770" s="7" t="str">
        <f>IFERROR(__xludf.DUMMYFUNCTION("""COMPUTED_VALUE"""),"None")</f>
        <v>None</v>
      </c>
      <c r="M770" s="7"/>
      <c r="N770" s="7"/>
      <c r="O770" s="7"/>
    </row>
    <row r="771">
      <c r="A771" s="29">
        <f>IFERROR(__xludf.DUMMYFUNCTION("""COMPUTED_VALUE"""),767.0)</f>
        <v>767</v>
      </c>
      <c r="B771" s="7" t="str">
        <f>IFERROR(__xludf.DUMMYFUNCTION("""COMPUTED_VALUE"""),"vor 3 Tagen")</f>
        <v>vor 3 Tagen</v>
      </c>
      <c r="C771" s="7" t="str">
        <f>IFERROR(__xludf.DUMMYFUNCTION("""COMPUTED_VALUE"""),"Technical System Analyst (f/m/d)")</f>
        <v>Technical System Analyst (f/m/d)</v>
      </c>
      <c r="D771" s="7" t="str">
        <f>IFERROR(__xludf.DUMMYFUNCTION("""COMPUTED_VALUE"""),"Frankfurt am Main")</f>
        <v>Frankfurt am Main</v>
      </c>
      <c r="E771" s="7" t="str">
        <f>IFERROR(__xludf.DUMMYFUNCTION("""COMPUTED_VALUE"""),"Deutsche Börse")</f>
        <v>Deutsche Börse</v>
      </c>
      <c r="F771" s="7" t="str">
        <f>IFERROR(__xludf.DUMMYFUNCTION("""COMPUTED_VALUE"""),"None")</f>
        <v>None</v>
      </c>
      <c r="G771" s="7" t="str">
        <f>IFERROR(__xludf.DUMMYFUNCTION("""COMPUTED_VALUE"""),"No salary data")</f>
        <v>No salary data</v>
      </c>
      <c r="H771" s="7" t="str">
        <f>IFERROR(__xludf.DUMMYFUNCTION("""COMPUTED_VALUE"""),"No salary data")</f>
        <v>No salary data</v>
      </c>
      <c r="I771" s="7" t="str">
        <f>IFERROR(__xludf.DUMMYFUNCTION("""COMPUTED_VALUE"""),"No salary data")</f>
        <v>No salary data</v>
      </c>
      <c r="J771" s="7" t="str">
        <f>IFERROR(__xludf.DUMMYFUNCTION("""COMPUTED_VALUE"""),"Python, Linux")</f>
        <v>Python, Linux</v>
      </c>
      <c r="K771" s="7" t="str">
        <f>IFERROR(__xludf.DUMMYFUNCTION("""COMPUTED_VALUE"""),"No job type data")</f>
        <v>No job type data</v>
      </c>
      <c r="L771" s="7" t="str">
        <f>IFERROR(__xludf.DUMMYFUNCTION("""COMPUTED_VALUE"""),"4,9")</f>
        <v>4,9</v>
      </c>
      <c r="M771" s="7"/>
      <c r="N771" s="7"/>
      <c r="O771" s="7"/>
    </row>
    <row r="772">
      <c r="A772" s="29">
        <f>IFERROR(__xludf.DUMMYFUNCTION("""COMPUTED_VALUE"""),768.0)</f>
        <v>768</v>
      </c>
      <c r="B772" s="7" t="str">
        <f>IFERROR(__xludf.DUMMYFUNCTION("""COMPUTED_VALUE"""),"vor 26 Tagen")</f>
        <v>vor 26 Tagen</v>
      </c>
      <c r="C772" s="7" t="str">
        <f>IFERROR(__xludf.DUMMYFUNCTION("""COMPUTED_VALUE"""),"Data Pipeline Engineer (m/f/x)")</f>
        <v>Data Pipeline Engineer (m/f/x)</v>
      </c>
      <c r="D772" s="7" t="str">
        <f>IFERROR(__xludf.DUMMYFUNCTION("""COMPUTED_VALUE"""),"München")</f>
        <v>München</v>
      </c>
      <c r="E772" s="7" t="str">
        <f>IFERROR(__xludf.DUMMYFUNCTION("""COMPUTED_VALUE"""),"Celonis SE")</f>
        <v>Celonis SE</v>
      </c>
      <c r="F772" s="7" t="str">
        <f>IFERROR(__xludf.DUMMYFUNCTION("""COMPUTED_VALUE"""),"None")</f>
        <v>None</v>
      </c>
      <c r="G772" s="7" t="str">
        <f>IFERROR(__xludf.DUMMYFUNCTION("""COMPUTED_VALUE"""),"No salary data")</f>
        <v>No salary data</v>
      </c>
      <c r="H772" s="7" t="str">
        <f>IFERROR(__xludf.DUMMYFUNCTION("""COMPUTED_VALUE"""),"No salary data")</f>
        <v>No salary data</v>
      </c>
      <c r="I772" s="7" t="str">
        <f>IFERROR(__xludf.DUMMYFUNCTION("""COMPUTED_VALUE"""),"No salary data")</f>
        <v>No salary data</v>
      </c>
      <c r="J772" s="7" t="str">
        <f>IFERROR(__xludf.DUMMYFUNCTION("""COMPUTED_VALUE"""),"Python, SQL, Excel, Agile")</f>
        <v>Python, SQL, Excel, Agile</v>
      </c>
      <c r="K772" s="7" t="str">
        <f>IFERROR(__xludf.DUMMYFUNCTION("""COMPUTED_VALUE"""),"No job type data")</f>
        <v>No job type data</v>
      </c>
      <c r="L772" s="7" t="str">
        <f>IFERROR(__xludf.DUMMYFUNCTION("""COMPUTED_VALUE"""),"4,3")</f>
        <v>4,3</v>
      </c>
      <c r="M772" s="7"/>
      <c r="N772" s="7"/>
      <c r="O772" s="7"/>
    </row>
    <row r="773">
      <c r="A773" s="29">
        <f>IFERROR(__xludf.DUMMYFUNCTION("""COMPUTED_VALUE"""),769.0)</f>
        <v>769</v>
      </c>
      <c r="B773" s="7" t="str">
        <f>IFERROR(__xludf.DUMMYFUNCTION("""COMPUTED_VALUE"""),"Vor mehr als 30 Tagen")</f>
        <v>Vor mehr als 30 Tagen</v>
      </c>
      <c r="C773" s="7" t="str">
        <f>IFERROR(__xludf.DUMMYFUNCTION("""COMPUTED_VALUE"""),"Data Analyst (m/w/d)")</f>
        <v>Data Analyst (m/w/d)</v>
      </c>
      <c r="D773" s="7" t="str">
        <f>IFERROR(__xludf.DUMMYFUNCTION("""COMPUTED_VALUE"""),"Biberach an der Riß")</f>
        <v>Biberach an der Riß</v>
      </c>
      <c r="E773" s="7" t="str">
        <f>IFERROR(__xludf.DUMMYFUNCTION("""COMPUTED_VALUE"""),"Randstad Deutschland")</f>
        <v>Randstad Deutschland</v>
      </c>
      <c r="F773" s="7" t="str">
        <f>IFERROR(__xludf.DUMMYFUNCTION("""COMPUTED_VALUE"""),"None")</f>
        <v>None</v>
      </c>
      <c r="G773" s="7" t="str">
        <f>IFERROR(__xludf.DUMMYFUNCTION("""COMPUTED_VALUE"""),"No salary data")</f>
        <v>No salary data</v>
      </c>
      <c r="H773" s="7" t="str">
        <f>IFERROR(__xludf.DUMMYFUNCTION("""COMPUTED_VALUE"""),"No salary data")</f>
        <v>No salary data</v>
      </c>
      <c r="I773" s="7" t="str">
        <f>IFERROR(__xludf.DUMMYFUNCTION("""COMPUTED_VALUE"""),"No salary data")</f>
        <v>No salary data</v>
      </c>
      <c r="J773" s="7"/>
      <c r="K773" s="7" t="str">
        <f>IFERROR(__xludf.DUMMYFUNCTION("""COMPUTED_VALUE"""),"No job type data")</f>
        <v>No job type data</v>
      </c>
      <c r="L773" s="7" t="str">
        <f>IFERROR(__xludf.DUMMYFUNCTION("""COMPUTED_VALUE"""),"3,7")</f>
        <v>3,7</v>
      </c>
      <c r="M773" s="7"/>
      <c r="N773" s="7"/>
      <c r="O773" s="7"/>
    </row>
    <row r="774">
      <c r="A774" s="29">
        <f>IFERROR(__xludf.DUMMYFUNCTION("""COMPUTED_VALUE"""),770.0)</f>
        <v>770</v>
      </c>
      <c r="B774" s="7" t="str">
        <f>IFERROR(__xludf.DUMMYFUNCTION("""COMPUTED_VALUE"""),"Heute")</f>
        <v>Heute</v>
      </c>
      <c r="C774" s="7" t="str">
        <f>IFERROR(__xludf.DUMMYFUNCTION("""COMPUTED_VALUE"""),"Data Manager (w/m/d)")</f>
        <v>Data Manager (w/m/d)</v>
      </c>
      <c r="D774" s="7" t="str">
        <f>IFERROR(__xludf.DUMMYFUNCTION("""COMPUTED_VALUE"""),"Ulm")</f>
        <v>Ulm</v>
      </c>
      <c r="E774" s="7" t="str">
        <f>IFERROR(__xludf.DUMMYFUNCTION("""COMPUTED_VALUE"""),"CRC Solutions")</f>
        <v>CRC Solutions</v>
      </c>
      <c r="F774" s="7" t="str">
        <f>IFERROR(__xludf.DUMMYFUNCTION("""COMPUTED_VALUE"""),"None")</f>
        <v>None</v>
      </c>
      <c r="G774" s="7" t="str">
        <f>IFERROR(__xludf.DUMMYFUNCTION("""COMPUTED_VALUE"""),"No salary data")</f>
        <v>No salary data</v>
      </c>
      <c r="H774" s="7" t="str">
        <f>IFERROR(__xludf.DUMMYFUNCTION("""COMPUTED_VALUE"""),"No salary data")</f>
        <v>No salary data</v>
      </c>
      <c r="I774" s="7" t="str">
        <f>IFERROR(__xludf.DUMMYFUNCTION("""COMPUTED_VALUE"""),"No salary data")</f>
        <v>No salary data</v>
      </c>
      <c r="J774" s="7"/>
      <c r="K774" s="7" t="str">
        <f>IFERROR(__xludf.DUMMYFUNCTION("""COMPUTED_VALUE"""),"No job type data")</f>
        <v>No job type data</v>
      </c>
      <c r="L774" s="7" t="str">
        <f>IFERROR(__xludf.DUMMYFUNCTION("""COMPUTED_VALUE"""),"None")</f>
        <v>None</v>
      </c>
      <c r="M774" s="7"/>
      <c r="N774" s="7"/>
      <c r="O774" s="7"/>
    </row>
    <row r="775">
      <c r="A775" s="29">
        <f>IFERROR(__xludf.DUMMYFUNCTION("""COMPUTED_VALUE"""),771.0)</f>
        <v>771</v>
      </c>
      <c r="B775" s="7" t="str">
        <f>IFERROR(__xludf.DUMMYFUNCTION("""COMPUTED_VALUE"""),"vor 12 Tagen")</f>
        <v>vor 12 Tagen</v>
      </c>
      <c r="C775" s="7" t="str">
        <f>IFERROR(__xludf.DUMMYFUNCTION("""COMPUTED_VALUE"""),"IT Data Architect (f/m/d)")</f>
        <v>IT Data Architect (f/m/d)</v>
      </c>
      <c r="D775" s="7" t="str">
        <f>IFERROR(__xludf.DUMMYFUNCTION("""COMPUTED_VALUE"""),"Bad Vilbel")</f>
        <v>Bad Vilbel</v>
      </c>
      <c r="E775" s="7" t="str">
        <f>IFERROR(__xludf.DUMMYFUNCTION("""COMPUTED_VALUE"""),"STADA Arzneimittel AG")</f>
        <v>STADA Arzneimittel AG</v>
      </c>
      <c r="F775" s="7" t="str">
        <f>IFERROR(__xludf.DUMMYFUNCTION("""COMPUTED_VALUE"""),"None")</f>
        <v>None</v>
      </c>
      <c r="G775" s="7" t="str">
        <f>IFERROR(__xludf.DUMMYFUNCTION("""COMPUTED_VALUE"""),"No salary data")</f>
        <v>No salary data</v>
      </c>
      <c r="H775" s="7" t="str">
        <f>IFERROR(__xludf.DUMMYFUNCTION("""COMPUTED_VALUE"""),"No salary data")</f>
        <v>No salary data</v>
      </c>
      <c r="I775" s="7" t="str">
        <f>IFERROR(__xludf.DUMMYFUNCTION("""COMPUTED_VALUE"""),"No salary data")</f>
        <v>No salary data</v>
      </c>
      <c r="J775" s="7" t="str">
        <f>IFERROR(__xludf.DUMMYFUNCTION("""COMPUTED_VALUE"""),"Python, SQL, Tableau, Machine Learning, Statistic, Linux")</f>
        <v>Python, SQL, Tableau, Machine Learning, Statistic, Linux</v>
      </c>
      <c r="K775" s="7" t="str">
        <f>IFERROR(__xludf.DUMMYFUNCTION("""COMPUTED_VALUE"""),"No job type data")</f>
        <v>No job type data</v>
      </c>
      <c r="L775" s="7" t="str">
        <f>IFERROR(__xludf.DUMMYFUNCTION("""COMPUTED_VALUE"""),"None")</f>
        <v>None</v>
      </c>
      <c r="M775" s="7"/>
      <c r="N775" s="7"/>
      <c r="O775" s="7"/>
    </row>
    <row r="776">
      <c r="A776" s="29">
        <f>IFERROR(__xludf.DUMMYFUNCTION("""COMPUTED_VALUE"""),772.0)</f>
        <v>772</v>
      </c>
      <c r="B776" s="7" t="str">
        <f>IFERROR(__xludf.DUMMYFUNCTION("""COMPUTED_VALUE"""),"vor 10 Tagen")</f>
        <v>vor 10 Tagen</v>
      </c>
      <c r="C776" s="7" t="str">
        <f>IFERROR(__xludf.DUMMYFUNCTION("""COMPUTED_VALUE"""),"Werkstudent Data Analyst (m/w/d)")</f>
        <v>Werkstudent Data Analyst (m/w/d)</v>
      </c>
      <c r="D776" s="7" t="str">
        <f>IFERROR(__xludf.DUMMYFUNCTION("""COMPUTED_VALUE"""),"Leipzig")</f>
        <v>Leipzig</v>
      </c>
      <c r="E776" s="7" t="str">
        <f>IFERROR(__xludf.DUMMYFUNCTION("""COMPUTED_VALUE"""),"DeskCenter Solutions AG")</f>
        <v>DeskCenter Solutions AG</v>
      </c>
      <c r="F776" s="7" t="str">
        <f>IFERROR(__xludf.DUMMYFUNCTION("""COMPUTED_VALUE"""),"None")</f>
        <v>None</v>
      </c>
      <c r="G776" s="7" t="str">
        <f>IFERROR(__xludf.DUMMYFUNCTION("""COMPUTED_VALUE"""),"No salary data")</f>
        <v>No salary data</v>
      </c>
      <c r="H776" s="7" t="str">
        <f>IFERROR(__xludf.DUMMYFUNCTION("""COMPUTED_VALUE"""),"No salary data")</f>
        <v>No salary data</v>
      </c>
      <c r="I776" s="7" t="str">
        <f>IFERROR(__xludf.DUMMYFUNCTION("""COMPUTED_VALUE"""),"No salary data")</f>
        <v>No salary data</v>
      </c>
      <c r="J776" s="7"/>
      <c r="K776" s="7" t="str">
        <f>IFERROR(__xludf.DUMMYFUNCTION("""COMPUTED_VALUE"""),"No job type data")</f>
        <v>No job type data</v>
      </c>
      <c r="L776" s="7" t="str">
        <f>IFERROR(__xludf.DUMMYFUNCTION("""COMPUTED_VALUE"""),"None")</f>
        <v>None</v>
      </c>
      <c r="M776" s="7"/>
      <c r="N776" s="7"/>
      <c r="O776" s="7"/>
    </row>
    <row r="777">
      <c r="A777" s="29">
        <f>IFERROR(__xludf.DUMMYFUNCTION("""COMPUTED_VALUE"""),773.0)</f>
        <v>773</v>
      </c>
      <c r="B777" s="7" t="str">
        <f>IFERROR(__xludf.DUMMYFUNCTION("""COMPUTED_VALUE"""),"Vor mehr als 30 Tagen")</f>
        <v>Vor mehr als 30 Tagen</v>
      </c>
      <c r="C777" s="7" t="str">
        <f>IFERROR(__xludf.DUMMYFUNCTION("""COMPUTED_VALUE"""),"Data Scientist (m/w/i)")</f>
        <v>Data Scientist (m/w/i)</v>
      </c>
      <c r="D777" s="7" t="str">
        <f>IFERROR(__xludf.DUMMYFUNCTION("""COMPUTED_VALUE"""),"Roth")</f>
        <v>Roth</v>
      </c>
      <c r="E777" s="7" t="str">
        <f>IFERROR(__xludf.DUMMYFUNCTION("""COMPUTED_VALUE"""),"edison street GmbH")</f>
        <v>edison street GmbH</v>
      </c>
      <c r="F777" s="7" t="str">
        <f>IFERROR(__xludf.DUMMYFUNCTION("""COMPUTED_VALUE"""),"None")</f>
        <v>None</v>
      </c>
      <c r="G777" s="7" t="str">
        <f>IFERROR(__xludf.DUMMYFUNCTION("""COMPUTED_VALUE"""),"No salary data")</f>
        <v>No salary data</v>
      </c>
      <c r="H777" s="7" t="str">
        <f>IFERROR(__xludf.DUMMYFUNCTION("""COMPUTED_VALUE"""),"No salary data")</f>
        <v>No salary data</v>
      </c>
      <c r="I777" s="7" t="str">
        <f>IFERROR(__xludf.DUMMYFUNCTION("""COMPUTED_VALUE"""),"No salary data")</f>
        <v>No salary data</v>
      </c>
      <c r="J777" s="7" t="str">
        <f>IFERROR(__xludf.DUMMYFUNCTION("""COMPUTED_VALUE"""),"Python, SQL")</f>
        <v>Python, SQL</v>
      </c>
      <c r="K777" s="7" t="str">
        <f>IFERROR(__xludf.DUMMYFUNCTION("""COMPUTED_VALUE"""),"No job type data")</f>
        <v>No job type data</v>
      </c>
      <c r="L777" s="7" t="str">
        <f>IFERROR(__xludf.DUMMYFUNCTION("""COMPUTED_VALUE"""),"None")</f>
        <v>None</v>
      </c>
      <c r="M777" s="7"/>
      <c r="N777" s="7"/>
      <c r="O777" s="7"/>
    </row>
    <row r="778">
      <c r="A778" s="29">
        <f>IFERROR(__xludf.DUMMYFUNCTION("""COMPUTED_VALUE"""),774.0)</f>
        <v>774</v>
      </c>
      <c r="B778" s="7" t="str">
        <f>IFERROR(__xludf.DUMMYFUNCTION("""COMPUTED_VALUE"""),"Vor mehr als 30 Tagen")</f>
        <v>Vor mehr als 30 Tagen</v>
      </c>
      <c r="C778" s="7" t="str">
        <f>IFERROR(__xludf.DUMMYFUNCTION("""COMPUTED_VALUE"""),"Data Engineer - Data Abstraction &amp; Provisioning (m/f/d)")</f>
        <v>Data Engineer - Data Abstraction &amp; Provisioning (m/f/d)</v>
      </c>
      <c r="D778" s="7" t="str">
        <f>IFERROR(__xludf.DUMMYFUNCTION("""COMPUTED_VALUE"""),"München")</f>
        <v>München</v>
      </c>
      <c r="E778" s="7" t="str">
        <f>IFERROR(__xludf.DUMMYFUNCTION("""COMPUTED_VALUE"""),"Knorr-Bremse")</f>
        <v>Knorr-Bremse</v>
      </c>
      <c r="F778" s="7" t="str">
        <f>IFERROR(__xludf.DUMMYFUNCTION("""COMPUTED_VALUE"""),"None")</f>
        <v>None</v>
      </c>
      <c r="G778" s="7" t="str">
        <f>IFERROR(__xludf.DUMMYFUNCTION("""COMPUTED_VALUE"""),"No salary data")</f>
        <v>No salary data</v>
      </c>
      <c r="H778" s="7" t="str">
        <f>IFERROR(__xludf.DUMMYFUNCTION("""COMPUTED_VALUE"""),"No salary data")</f>
        <v>No salary data</v>
      </c>
      <c r="I778" s="7" t="str">
        <f>IFERROR(__xludf.DUMMYFUNCTION("""COMPUTED_VALUE"""),"No salary data")</f>
        <v>No salary data</v>
      </c>
      <c r="J778" s="7" t="str">
        <f>IFERROR(__xludf.DUMMYFUNCTION("""COMPUTED_VALUE"""),"Excel")</f>
        <v>Excel</v>
      </c>
      <c r="K778" s="7" t="str">
        <f>IFERROR(__xludf.DUMMYFUNCTION("""COMPUTED_VALUE"""),"No job type data")</f>
        <v>No job type data</v>
      </c>
      <c r="L778" s="7" t="str">
        <f>IFERROR(__xludf.DUMMYFUNCTION("""COMPUTED_VALUE"""),"3,7")</f>
        <v>3,7</v>
      </c>
      <c r="M778" s="7"/>
      <c r="N778" s="7"/>
      <c r="O778" s="7"/>
    </row>
    <row r="779">
      <c r="A779" s="29">
        <f>IFERROR(__xludf.DUMMYFUNCTION("""COMPUTED_VALUE"""),775.0)</f>
        <v>775</v>
      </c>
      <c r="B779" s="7" t="str">
        <f>IFERROR(__xludf.DUMMYFUNCTION("""COMPUTED_VALUE"""),"vor 14 Tagen")</f>
        <v>vor 14 Tagen</v>
      </c>
      <c r="C779" s="7" t="str">
        <f>IFERROR(__xludf.DUMMYFUNCTION("""COMPUTED_VALUE"""),"Data Scientist (m/w/d)")</f>
        <v>Data Scientist (m/w/d)</v>
      </c>
      <c r="D779" s="7" t="str">
        <f>IFERROR(__xludf.DUMMYFUNCTION("""COMPUTED_VALUE"""),"Rüsselsheim")</f>
        <v>Rüsselsheim</v>
      </c>
      <c r="E779" s="7" t="str">
        <f>IFERROR(__xludf.DUMMYFUNCTION("""COMPUTED_VALUE"""),"invenio GmbH Engineering Services")</f>
        <v>invenio GmbH Engineering Services</v>
      </c>
      <c r="F779" s="7" t="str">
        <f>IFERROR(__xludf.DUMMYFUNCTION("""COMPUTED_VALUE"""),"None")</f>
        <v>None</v>
      </c>
      <c r="G779" s="7" t="str">
        <f>IFERROR(__xludf.DUMMYFUNCTION("""COMPUTED_VALUE"""),"No salary data")</f>
        <v>No salary data</v>
      </c>
      <c r="H779" s="7" t="str">
        <f>IFERROR(__xludf.DUMMYFUNCTION("""COMPUTED_VALUE"""),"No salary data")</f>
        <v>No salary data</v>
      </c>
      <c r="I779" s="7" t="str">
        <f>IFERROR(__xludf.DUMMYFUNCTION("""COMPUTED_VALUE"""),"No salary data")</f>
        <v>No salary data</v>
      </c>
      <c r="J779" s="7" t="str">
        <f>IFERROR(__xludf.DUMMYFUNCTION("""COMPUTED_VALUE"""),"Python, Machine Learning, Deep Learning")</f>
        <v>Python, Machine Learning, Deep Learning</v>
      </c>
      <c r="K779" s="7" t="str">
        <f>IFERROR(__xludf.DUMMYFUNCTION("""COMPUTED_VALUE"""),"No job type data")</f>
        <v>No job type data</v>
      </c>
      <c r="L779" s="7" t="str">
        <f>IFERROR(__xludf.DUMMYFUNCTION("""COMPUTED_VALUE"""),"4,0")</f>
        <v>4,0</v>
      </c>
      <c r="M779" s="7"/>
      <c r="N779" s="7"/>
      <c r="O779" s="7"/>
    </row>
    <row r="780">
      <c r="A780" s="29">
        <f>IFERROR(__xludf.DUMMYFUNCTION("""COMPUTED_VALUE"""),776.0)</f>
        <v>776</v>
      </c>
      <c r="B780" s="7" t="str">
        <f>IFERROR(__xludf.DUMMYFUNCTION("""COMPUTED_VALUE"""),"Vor mehr als 30 Tagen")</f>
        <v>Vor mehr als 30 Tagen</v>
      </c>
      <c r="C780" s="7" t="str">
        <f>IFERROR(__xludf.DUMMYFUNCTION("""COMPUTED_VALUE"""),"Junior (Medizin-)Informatiker als Data Engineer (m/f/d)")</f>
        <v>Junior (Medizin-)Informatiker als Data Engineer (m/f/d)</v>
      </c>
      <c r="D780" s="7" t="str">
        <f>IFERROR(__xludf.DUMMYFUNCTION("""COMPUTED_VALUE"""),"München")</f>
        <v>München</v>
      </c>
      <c r="E780" s="7" t="str">
        <f>IFERROR(__xludf.DUMMYFUNCTION("""COMPUTED_VALUE"""),"Klinikum der Universität München")</f>
        <v>Klinikum der Universität München</v>
      </c>
      <c r="F780" s="7" t="str">
        <f>IFERROR(__xludf.DUMMYFUNCTION("""COMPUTED_VALUE"""),"None")</f>
        <v>None</v>
      </c>
      <c r="G780" s="7" t="str">
        <f>IFERROR(__xludf.DUMMYFUNCTION("""COMPUTED_VALUE"""),"No salary data")</f>
        <v>No salary data</v>
      </c>
      <c r="H780" s="7" t="str">
        <f>IFERROR(__xludf.DUMMYFUNCTION("""COMPUTED_VALUE"""),"No salary data")</f>
        <v>No salary data</v>
      </c>
      <c r="I780" s="7" t="str">
        <f>IFERROR(__xludf.DUMMYFUNCTION("""COMPUTED_VALUE"""),"No salary data")</f>
        <v>No salary data</v>
      </c>
      <c r="J780" s="7" t="str">
        <f>IFERROR(__xludf.DUMMYFUNCTION("""COMPUTED_VALUE"""),"Python, SQL, Git, Agile, Scrum")</f>
        <v>Python, SQL, Git, Agile, Scrum</v>
      </c>
      <c r="K780" s="7" t="str">
        <f>IFERROR(__xludf.DUMMYFUNCTION("""COMPUTED_VALUE"""),"No job type data")</f>
        <v>No job type data</v>
      </c>
      <c r="L780" s="7" t="str">
        <f>IFERROR(__xludf.DUMMYFUNCTION("""COMPUTED_VALUE"""),"3,8")</f>
        <v>3,8</v>
      </c>
      <c r="M780" s="7"/>
      <c r="N780" s="7"/>
      <c r="O780" s="7"/>
    </row>
    <row r="781">
      <c r="A781" s="29">
        <f>IFERROR(__xludf.DUMMYFUNCTION("""COMPUTED_VALUE"""),777.0)</f>
        <v>777</v>
      </c>
      <c r="B781" s="7" t="str">
        <f>IFERROR(__xludf.DUMMYFUNCTION("""COMPUTED_VALUE"""),"vor 5 Tagen")</f>
        <v>vor 5 Tagen</v>
      </c>
      <c r="C781" s="7" t="str">
        <f>IFERROR(__xludf.DUMMYFUNCTION("""COMPUTED_VALUE"""),"Senior Data Engineer - Recommendations (f/m/d)")</f>
        <v>Senior Data Engineer - Recommendations (f/m/d)</v>
      </c>
      <c r="D781" s="7" t="str">
        <f>IFERROR(__xludf.DUMMYFUNCTION("""COMPUTED_VALUE"""),"Berlin")</f>
        <v>Berlin</v>
      </c>
      <c r="E781" s="7" t="str">
        <f>IFERROR(__xludf.DUMMYFUNCTION("""COMPUTED_VALUE"""),"Delivery Hero")</f>
        <v>Delivery Hero</v>
      </c>
      <c r="F781" s="7" t="str">
        <f>IFERROR(__xludf.DUMMYFUNCTION("""COMPUTED_VALUE"""),"None")</f>
        <v>None</v>
      </c>
      <c r="G781" s="7" t="str">
        <f>IFERROR(__xludf.DUMMYFUNCTION("""COMPUTED_VALUE"""),"No salary data")</f>
        <v>No salary data</v>
      </c>
      <c r="H781" s="7" t="str">
        <f>IFERROR(__xludf.DUMMYFUNCTION("""COMPUTED_VALUE"""),"No salary data")</f>
        <v>No salary data</v>
      </c>
      <c r="I781" s="7" t="str">
        <f>IFERROR(__xludf.DUMMYFUNCTION("""COMPUTED_VALUE"""),"No salary data")</f>
        <v>No salary data</v>
      </c>
      <c r="J781" s="7" t="str">
        <f>IFERROR(__xludf.DUMMYFUNCTION("""COMPUTED_VALUE"""),"SQL, Excel, Machine Learning, Git")</f>
        <v>SQL, Excel, Machine Learning, Git</v>
      </c>
      <c r="K781" s="7" t="str">
        <f>IFERROR(__xludf.DUMMYFUNCTION("""COMPUTED_VALUE"""),"No job type data")</f>
        <v>No job type data</v>
      </c>
      <c r="L781" s="7" t="str">
        <f>IFERROR(__xludf.DUMMYFUNCTION("""COMPUTED_VALUE"""),"3,7")</f>
        <v>3,7</v>
      </c>
      <c r="M781" s="7"/>
      <c r="N781" s="7"/>
      <c r="O781" s="7"/>
    </row>
    <row r="782">
      <c r="A782" s="29">
        <f>IFERROR(__xludf.DUMMYFUNCTION("""COMPUTED_VALUE"""),778.0)</f>
        <v>778</v>
      </c>
      <c r="B782" s="7" t="str">
        <f>IFERROR(__xludf.DUMMYFUNCTION("""COMPUTED_VALUE"""),"vor 20 Tagen")</f>
        <v>vor 20 Tagen</v>
      </c>
      <c r="C782" s="7" t="str">
        <f>IFERROR(__xludf.DUMMYFUNCTION("""COMPUTED_VALUE"""),"Data Engineer - E-Commerce (m/w/d)")</f>
        <v>Data Engineer - E-Commerce (m/w/d)</v>
      </c>
      <c r="D782" s="7" t="str">
        <f>IFERROR(__xludf.DUMMYFUNCTION("""COMPUTED_VALUE"""),"Frankfurt am Main")</f>
        <v>Frankfurt am Main</v>
      </c>
      <c r="E782" s="7" t="str">
        <f>IFERROR(__xludf.DUMMYFUNCTION("""COMPUTED_VALUE"""),"Fitvia GmbH")</f>
        <v>Fitvia GmbH</v>
      </c>
      <c r="F782" s="7" t="str">
        <f>IFERROR(__xludf.DUMMYFUNCTION("""COMPUTED_VALUE"""),"None")</f>
        <v>None</v>
      </c>
      <c r="G782" s="7" t="str">
        <f>IFERROR(__xludf.DUMMYFUNCTION("""COMPUTED_VALUE"""),"No salary data")</f>
        <v>No salary data</v>
      </c>
      <c r="H782" s="7" t="str">
        <f>IFERROR(__xludf.DUMMYFUNCTION("""COMPUTED_VALUE"""),"No salary data")</f>
        <v>No salary data</v>
      </c>
      <c r="I782" s="7" t="str">
        <f>IFERROR(__xludf.DUMMYFUNCTION("""COMPUTED_VALUE"""),"No salary data")</f>
        <v>No salary data</v>
      </c>
      <c r="J782" s="7" t="str">
        <f>IFERROR(__xludf.DUMMYFUNCTION("""COMPUTED_VALUE"""),"SQL, Tableau, Git, Linux")</f>
        <v>SQL, Tableau, Git, Linux</v>
      </c>
      <c r="K782" s="7" t="str">
        <f>IFERROR(__xludf.DUMMYFUNCTION("""COMPUTED_VALUE"""),"No job type data")</f>
        <v>No job type data</v>
      </c>
      <c r="L782" s="7" t="str">
        <f>IFERROR(__xludf.DUMMYFUNCTION("""COMPUTED_VALUE"""),"4,0")</f>
        <v>4,0</v>
      </c>
      <c r="M782" s="7"/>
      <c r="N782" s="7"/>
      <c r="O782" s="7"/>
    </row>
    <row r="783">
      <c r="A783" s="29">
        <f>IFERROR(__xludf.DUMMYFUNCTION("""COMPUTED_VALUE"""),779.0)</f>
        <v>779</v>
      </c>
      <c r="B783" s="7" t="str">
        <f>IFERROR(__xludf.DUMMYFUNCTION("""COMPUTED_VALUE"""),"vor 3 Tagen")</f>
        <v>vor 3 Tagen</v>
      </c>
      <c r="C783" s="7" t="str">
        <f>IFERROR(__xludf.DUMMYFUNCTION("""COMPUTED_VALUE"""),"Data Warehouse Architect")</f>
        <v>Data Warehouse Architect</v>
      </c>
      <c r="D783" s="7" t="str">
        <f>IFERROR(__xludf.DUMMYFUNCTION("""COMPUTED_VALUE"""),"München")</f>
        <v>München</v>
      </c>
      <c r="E783" s="7" t="str">
        <f>IFERROR(__xludf.DUMMYFUNCTION("""COMPUTED_VALUE"""),"STI-Consulting")</f>
        <v>STI-Consulting</v>
      </c>
      <c r="F783" s="7" t="str">
        <f>IFERROR(__xludf.DUMMYFUNCTION("""COMPUTED_VALUE"""),"None")</f>
        <v>None</v>
      </c>
      <c r="G783" s="7" t="str">
        <f>IFERROR(__xludf.DUMMYFUNCTION("""COMPUTED_VALUE"""),"No salary data")</f>
        <v>No salary data</v>
      </c>
      <c r="H783" s="7" t="str">
        <f>IFERROR(__xludf.DUMMYFUNCTION("""COMPUTED_VALUE"""),"No salary data")</f>
        <v>No salary data</v>
      </c>
      <c r="I783" s="7" t="str">
        <f>IFERROR(__xludf.DUMMYFUNCTION("""COMPUTED_VALUE"""),"No salary data")</f>
        <v>No salary data</v>
      </c>
      <c r="J783" s="7" t="str">
        <f>IFERROR(__xludf.DUMMYFUNCTION("""COMPUTED_VALUE"""),"SQL, Agile")</f>
        <v>SQL, Agile</v>
      </c>
      <c r="K783" s="7" t="str">
        <f>IFERROR(__xludf.DUMMYFUNCTION("""COMPUTED_VALUE"""),"No job type data")</f>
        <v>No job type data</v>
      </c>
      <c r="L783" s="7" t="str">
        <f>IFERROR(__xludf.DUMMYFUNCTION("""COMPUTED_VALUE"""),"None")</f>
        <v>None</v>
      </c>
      <c r="M783" s="7"/>
      <c r="N783" s="7"/>
      <c r="O783" s="7"/>
    </row>
    <row r="784">
      <c r="A784" s="29">
        <f>IFERROR(__xludf.DUMMYFUNCTION("""COMPUTED_VALUE"""),780.0)</f>
        <v>780</v>
      </c>
      <c r="B784" s="7" t="str">
        <f>IFERROR(__xludf.DUMMYFUNCTION("""COMPUTED_VALUE"""),"Vor mehr als 30 Tagen")</f>
        <v>Vor mehr als 30 Tagen</v>
      </c>
      <c r="C784" s="7" t="str">
        <f>IFERROR(__xludf.DUMMYFUNCTION("""COMPUTED_VALUE"""),"PraktikantIn Data Science &amp; Management Consulting (m/f/x)")</f>
        <v>PraktikantIn Data Science &amp; Management Consulting (m/f/x)</v>
      </c>
      <c r="D784" s="7" t="str">
        <f>IFERROR(__xludf.DUMMYFUNCTION("""COMPUTED_VALUE"""),"München")</f>
        <v>München</v>
      </c>
      <c r="E784" s="7" t="str">
        <f>IFERROR(__xludf.DUMMYFUNCTION("""COMPUTED_VALUE"""),"Celonis SE")</f>
        <v>Celonis SE</v>
      </c>
      <c r="F784" s="7" t="str">
        <f>IFERROR(__xludf.DUMMYFUNCTION("""COMPUTED_VALUE"""),"None")</f>
        <v>None</v>
      </c>
      <c r="G784" s="7" t="str">
        <f>IFERROR(__xludf.DUMMYFUNCTION("""COMPUTED_VALUE"""),"No salary data")</f>
        <v>No salary data</v>
      </c>
      <c r="H784" s="7" t="str">
        <f>IFERROR(__xludf.DUMMYFUNCTION("""COMPUTED_VALUE"""),"No salary data")</f>
        <v>No salary data</v>
      </c>
      <c r="I784" s="7" t="str">
        <f>IFERROR(__xludf.DUMMYFUNCTION("""COMPUTED_VALUE"""),"No salary data")</f>
        <v>No salary data</v>
      </c>
      <c r="J784" s="7" t="str">
        <f>IFERROR(__xludf.DUMMYFUNCTION("""COMPUTED_VALUE"""),"SQL")</f>
        <v>SQL</v>
      </c>
      <c r="K784" s="7" t="str">
        <f>IFERROR(__xludf.DUMMYFUNCTION("""COMPUTED_VALUE"""),"No job type data")</f>
        <v>No job type data</v>
      </c>
      <c r="L784" s="7" t="str">
        <f>IFERROR(__xludf.DUMMYFUNCTION("""COMPUTED_VALUE"""),"4,3")</f>
        <v>4,3</v>
      </c>
      <c r="M784" s="7"/>
      <c r="N784" s="7"/>
      <c r="O784" s="7"/>
    </row>
    <row r="785">
      <c r="A785" s="29">
        <f>IFERROR(__xludf.DUMMYFUNCTION("""COMPUTED_VALUE"""),781.0)</f>
        <v>781</v>
      </c>
      <c r="B785" s="7" t="str">
        <f>IFERROR(__xludf.DUMMYFUNCTION("""COMPUTED_VALUE"""),"Vor mehr als 30 Tagen")</f>
        <v>Vor mehr als 30 Tagen</v>
      </c>
      <c r="C785" s="7" t="str">
        <f>IFERROR(__xludf.DUMMYFUNCTION("""COMPUTED_VALUE"""),"Data Scientist Automotive EMEA (m/f/d)")</f>
        <v>Data Scientist Automotive EMEA (m/f/d)</v>
      </c>
      <c r="D785" s="7" t="str">
        <f>IFERROR(__xludf.DUMMYFUNCTION("""COMPUTED_VALUE"""),"Speyer")</f>
        <v>Speyer</v>
      </c>
      <c r="E785" s="7" t="str">
        <f>IFERROR(__xludf.DUMMYFUNCTION("""COMPUTED_VALUE"""),"TE Connectivity")</f>
        <v>TE Connectivity</v>
      </c>
      <c r="F785" s="7" t="str">
        <f>IFERROR(__xludf.DUMMYFUNCTION("""COMPUTED_VALUE"""),"None")</f>
        <v>None</v>
      </c>
      <c r="G785" s="7" t="str">
        <f>IFERROR(__xludf.DUMMYFUNCTION("""COMPUTED_VALUE"""),"No salary data")</f>
        <v>No salary data</v>
      </c>
      <c r="H785" s="7" t="str">
        <f>IFERROR(__xludf.DUMMYFUNCTION("""COMPUTED_VALUE"""),"No salary data")</f>
        <v>No salary data</v>
      </c>
      <c r="I785" s="7" t="str">
        <f>IFERROR(__xludf.DUMMYFUNCTION("""COMPUTED_VALUE"""),"No salary data")</f>
        <v>No salary data</v>
      </c>
      <c r="J785" s="7" t="str">
        <f>IFERROR(__xludf.DUMMYFUNCTION("""COMPUTED_VALUE"""),"Python, Tableau, Excel, Machine Learning, Deep Learning, Statistic, Git")</f>
        <v>Python, Tableau, Excel, Machine Learning, Deep Learning, Statistic, Git</v>
      </c>
      <c r="K785" s="7" t="str">
        <f>IFERROR(__xludf.DUMMYFUNCTION("""COMPUTED_VALUE"""),"No job type data")</f>
        <v>No job type data</v>
      </c>
      <c r="L785" s="7" t="str">
        <f>IFERROR(__xludf.DUMMYFUNCTION("""COMPUTED_VALUE"""),"3,8")</f>
        <v>3,8</v>
      </c>
      <c r="M785" s="7"/>
      <c r="N785" s="7"/>
      <c r="O785" s="7"/>
    </row>
    <row r="786">
      <c r="A786" s="29">
        <f>IFERROR(__xludf.DUMMYFUNCTION("""COMPUTED_VALUE"""),782.0)</f>
        <v>782</v>
      </c>
      <c r="B786" s="7" t="str">
        <f>IFERROR(__xludf.DUMMYFUNCTION("""COMPUTED_VALUE"""),"vor 3 Tagen")</f>
        <v>vor 3 Tagen</v>
      </c>
      <c r="C786" s="7" t="str">
        <f>IFERROR(__xludf.DUMMYFUNCTION("""COMPUTED_VALUE"""),"Engineer")</f>
        <v>Engineer</v>
      </c>
      <c r="D786" s="7" t="str">
        <f>IFERROR(__xludf.DUMMYFUNCTION("""COMPUTED_VALUE"""),"Ludwigsstadt")</f>
        <v>Ludwigsstadt</v>
      </c>
      <c r="E786" s="7" t="str">
        <f>IFERROR(__xludf.DUMMYFUNCTION("""COMPUTED_VALUE"""),"W.O.M. WORLD OF MEDICINE GmbH")</f>
        <v>W.O.M. WORLD OF MEDICINE GmbH</v>
      </c>
      <c r="F786" s="7" t="str">
        <f>IFERROR(__xludf.DUMMYFUNCTION("""COMPUTED_VALUE"""),"None")</f>
        <v>None</v>
      </c>
      <c r="G786" s="7" t="str">
        <f>IFERROR(__xludf.DUMMYFUNCTION("""COMPUTED_VALUE"""),"No salary data")</f>
        <v>No salary data</v>
      </c>
      <c r="H786" s="7" t="str">
        <f>IFERROR(__xludf.DUMMYFUNCTION("""COMPUTED_VALUE"""),"No salary data")</f>
        <v>No salary data</v>
      </c>
      <c r="I786" s="7" t="str">
        <f>IFERROR(__xludf.DUMMYFUNCTION("""COMPUTED_VALUE"""),"No salary data")</f>
        <v>No salary data</v>
      </c>
      <c r="J786" s="7"/>
      <c r="K786" s="7" t="str">
        <f>IFERROR(__xludf.DUMMYFUNCTION("""COMPUTED_VALUE"""),"No job type data")</f>
        <v>No job type data</v>
      </c>
      <c r="L786" s="7" t="str">
        <f>IFERROR(__xludf.DUMMYFUNCTION("""COMPUTED_VALUE"""),"3,0")</f>
        <v>3,0</v>
      </c>
      <c r="M786" s="7"/>
      <c r="N786" s="7"/>
      <c r="O786" s="7"/>
    </row>
    <row r="787">
      <c r="A787" s="29">
        <f>IFERROR(__xludf.DUMMYFUNCTION("""COMPUTED_VALUE"""),783.0)</f>
        <v>783</v>
      </c>
      <c r="B787" s="7" t="str">
        <f>IFERROR(__xludf.DUMMYFUNCTION("""COMPUTED_VALUE"""),"Vor mehr als 30 Tagen")</f>
        <v>Vor mehr als 30 Tagen</v>
      </c>
      <c r="C787" s="7" t="str">
        <f>IFERROR(__xludf.DUMMYFUNCTION("""COMPUTED_VALUE"""),"Data Analytics Architect")</f>
        <v>Data Analytics Architect</v>
      </c>
      <c r="D787" s="7" t="str">
        <f>IFERROR(__xludf.DUMMYFUNCTION("""COMPUTED_VALUE"""),"Düsseldorf")</f>
        <v>Düsseldorf</v>
      </c>
      <c r="E787" s="7" t="str">
        <f>IFERROR(__xludf.DUMMYFUNCTION("""COMPUTED_VALUE"""),"ACP Digital Analytics GmbH")</f>
        <v>ACP Digital Analytics GmbH</v>
      </c>
      <c r="F787" s="7" t="str">
        <f>IFERROR(__xludf.DUMMYFUNCTION("""COMPUTED_VALUE"""),"None")</f>
        <v>None</v>
      </c>
      <c r="G787" s="7" t="str">
        <f>IFERROR(__xludf.DUMMYFUNCTION("""COMPUTED_VALUE"""),"No salary data")</f>
        <v>No salary data</v>
      </c>
      <c r="H787" s="7" t="str">
        <f>IFERROR(__xludf.DUMMYFUNCTION("""COMPUTED_VALUE"""),"No salary data")</f>
        <v>No salary data</v>
      </c>
      <c r="I787" s="7" t="str">
        <f>IFERROR(__xludf.DUMMYFUNCTION("""COMPUTED_VALUE"""),"No salary data")</f>
        <v>No salary data</v>
      </c>
      <c r="J787" s="7" t="str">
        <f>IFERROR(__xludf.DUMMYFUNCTION("""COMPUTED_VALUE"""),"Agile, Scrum")</f>
        <v>Agile, Scrum</v>
      </c>
      <c r="K787" s="7" t="str">
        <f>IFERROR(__xludf.DUMMYFUNCTION("""COMPUTED_VALUE"""),"No job type data")</f>
        <v>No job type data</v>
      </c>
      <c r="L787" s="7" t="str">
        <f>IFERROR(__xludf.DUMMYFUNCTION("""COMPUTED_VALUE"""),"None")</f>
        <v>None</v>
      </c>
      <c r="M787" s="7"/>
      <c r="N787" s="7"/>
      <c r="O787" s="7"/>
    </row>
    <row r="788">
      <c r="A788" s="29">
        <f>IFERROR(__xludf.DUMMYFUNCTION("""COMPUTED_VALUE"""),784.0)</f>
        <v>784</v>
      </c>
      <c r="B788" s="7" t="str">
        <f>IFERROR(__xludf.DUMMYFUNCTION("""COMPUTED_VALUE"""),"vor 13 Tagen")</f>
        <v>vor 13 Tagen</v>
      </c>
      <c r="C788" s="7" t="str">
        <f>IFERROR(__xludf.DUMMYFUNCTION("""COMPUTED_VALUE"""),"Teamleiter Data Engineering &amp; Analytics (m/w/d) Raum Duisbur...")</f>
        <v>Teamleiter Data Engineering &amp; Analytics (m/w/d) Raum Duisbur...</v>
      </c>
      <c r="D788" s="7" t="str">
        <f>IFERROR(__xludf.DUMMYFUNCTION("""COMPUTED_VALUE"""),"Duisburg")</f>
        <v>Duisburg</v>
      </c>
      <c r="E788" s="7" t="str">
        <f>IFERROR(__xludf.DUMMYFUNCTION("""COMPUTED_VALUE"""),"InterJob® GmbH")</f>
        <v>InterJob® GmbH</v>
      </c>
      <c r="F788" s="7" t="str">
        <f>IFERROR(__xludf.DUMMYFUNCTION("""COMPUTED_VALUE"""),"None")</f>
        <v>None</v>
      </c>
      <c r="G788" s="7" t="str">
        <f>IFERROR(__xludf.DUMMYFUNCTION("""COMPUTED_VALUE"""),"No salary data")</f>
        <v>No salary data</v>
      </c>
      <c r="H788" s="7" t="str">
        <f>IFERROR(__xludf.DUMMYFUNCTION("""COMPUTED_VALUE"""),"No salary data")</f>
        <v>No salary data</v>
      </c>
      <c r="I788" s="7" t="str">
        <f>IFERROR(__xludf.DUMMYFUNCTION("""COMPUTED_VALUE"""),"No salary data")</f>
        <v>No salary data</v>
      </c>
      <c r="J788" s="7" t="str">
        <f>IFERROR(__xludf.DUMMYFUNCTION("""COMPUTED_VALUE"""),"Python, Tableau, Agile")</f>
        <v>Python, Tableau, Agile</v>
      </c>
      <c r="K788" s="7" t="str">
        <f>IFERROR(__xludf.DUMMYFUNCTION("""COMPUTED_VALUE"""),"No job type data")</f>
        <v>No job type data</v>
      </c>
      <c r="L788" s="7" t="str">
        <f>IFERROR(__xludf.DUMMYFUNCTION("""COMPUTED_VALUE"""),"None")</f>
        <v>None</v>
      </c>
      <c r="M788" s="7"/>
      <c r="N788" s="7"/>
      <c r="O788" s="7"/>
    </row>
    <row r="789">
      <c r="A789" s="29">
        <f>IFERROR(__xludf.DUMMYFUNCTION("""COMPUTED_VALUE"""),785.0)</f>
        <v>785</v>
      </c>
      <c r="B789" s="7" t="str">
        <f>IFERROR(__xludf.DUMMYFUNCTION("""COMPUTED_VALUE"""),"Vor mehr als 30 Tagen")</f>
        <v>Vor mehr als 30 Tagen</v>
      </c>
      <c r="C789" s="7" t="str">
        <f>IFERROR(__xludf.DUMMYFUNCTION("""COMPUTED_VALUE"""),"Data Engineer (m/w/d)")</f>
        <v>Data Engineer (m/w/d)</v>
      </c>
      <c r="D789" s="7" t="str">
        <f>IFERROR(__xludf.DUMMYFUNCTION("""COMPUTED_VALUE"""),"Düsseldorf")</f>
        <v>Düsseldorf</v>
      </c>
      <c r="E789" s="7" t="str">
        <f>IFERROR(__xludf.DUMMYFUNCTION("""COMPUTED_VALUE"""),"Boxine GmbH")</f>
        <v>Boxine GmbH</v>
      </c>
      <c r="F789" s="7" t="str">
        <f>IFERROR(__xludf.DUMMYFUNCTION("""COMPUTED_VALUE"""),"None")</f>
        <v>None</v>
      </c>
      <c r="G789" s="7" t="str">
        <f>IFERROR(__xludf.DUMMYFUNCTION("""COMPUTED_VALUE"""),"No salary data")</f>
        <v>No salary data</v>
      </c>
      <c r="H789" s="7" t="str">
        <f>IFERROR(__xludf.DUMMYFUNCTION("""COMPUTED_VALUE"""),"No salary data")</f>
        <v>No salary data</v>
      </c>
      <c r="I789" s="7" t="str">
        <f>IFERROR(__xludf.DUMMYFUNCTION("""COMPUTED_VALUE"""),"No salary data")</f>
        <v>No salary data</v>
      </c>
      <c r="J789" s="7" t="str">
        <f>IFERROR(__xludf.DUMMYFUNCTION("""COMPUTED_VALUE"""),"Python, SQL, Tableau, Agile")</f>
        <v>Python, SQL, Tableau, Agile</v>
      </c>
      <c r="K789" s="7" t="str">
        <f>IFERROR(__xludf.DUMMYFUNCTION("""COMPUTED_VALUE"""),"No job type data")</f>
        <v>No job type data</v>
      </c>
      <c r="L789" s="7" t="str">
        <f>IFERROR(__xludf.DUMMYFUNCTION("""COMPUTED_VALUE"""),"None")</f>
        <v>None</v>
      </c>
      <c r="M789" s="7"/>
      <c r="N789" s="7"/>
      <c r="O789" s="7"/>
    </row>
    <row r="790">
      <c r="A790" s="29">
        <f>IFERROR(__xludf.DUMMYFUNCTION("""COMPUTED_VALUE"""),786.0)</f>
        <v>786</v>
      </c>
      <c r="B790" s="7" t="str">
        <f>IFERROR(__xludf.DUMMYFUNCTION("""COMPUTED_VALUE"""),"vor 3 Tagen")</f>
        <v>vor 3 Tagen</v>
      </c>
      <c r="C790" s="7" t="str">
        <f>IFERROR(__xludf.DUMMYFUNCTION("""COMPUTED_VALUE"""),"Lead Supervisors")</f>
        <v>Lead Supervisors</v>
      </c>
      <c r="D790" s="7" t="str">
        <f>IFERROR(__xludf.DUMMYFUNCTION("""COMPUTED_VALUE"""),"Frankfurt am Main")</f>
        <v>Frankfurt am Main</v>
      </c>
      <c r="E790" s="7" t="str">
        <f>IFERROR(__xludf.DUMMYFUNCTION("""COMPUTED_VALUE"""),"The European Central Bank")</f>
        <v>The European Central Bank</v>
      </c>
      <c r="F790" s="7" t="str">
        <f>IFERROR(__xludf.DUMMYFUNCTION("""COMPUTED_VALUE"""),"None")</f>
        <v>None</v>
      </c>
      <c r="G790" s="7" t="str">
        <f>IFERROR(__xludf.DUMMYFUNCTION("""COMPUTED_VALUE"""),"No salary data")</f>
        <v>No salary data</v>
      </c>
      <c r="H790" s="7" t="str">
        <f>IFERROR(__xludf.DUMMYFUNCTION("""COMPUTED_VALUE"""),"No salary data")</f>
        <v>No salary data</v>
      </c>
      <c r="I790" s="7" t="str">
        <f>IFERROR(__xludf.DUMMYFUNCTION("""COMPUTED_VALUE"""),"No salary data")</f>
        <v>No salary data</v>
      </c>
      <c r="J790" s="7" t="str">
        <f>IFERROR(__xludf.DUMMYFUNCTION("""COMPUTED_VALUE"""),"Python, SQL, Statistic")</f>
        <v>Python, SQL, Statistic</v>
      </c>
      <c r="K790" s="7" t="str">
        <f>IFERROR(__xludf.DUMMYFUNCTION("""COMPUTED_VALUE"""),"Contract")</f>
        <v>Contract</v>
      </c>
      <c r="L790" s="7" t="str">
        <f>IFERROR(__xludf.DUMMYFUNCTION("""COMPUTED_VALUE"""),"None")</f>
        <v>None</v>
      </c>
      <c r="M790" s="7"/>
      <c r="N790" s="7"/>
      <c r="O790" s="7"/>
    </row>
    <row r="791">
      <c r="A791" s="29">
        <f>IFERROR(__xludf.DUMMYFUNCTION("""COMPUTED_VALUE"""),787.0)</f>
        <v>787</v>
      </c>
      <c r="B791" s="7" t="str">
        <f>IFERROR(__xludf.DUMMYFUNCTION("""COMPUTED_VALUE"""),"vor 25 Tagen")</f>
        <v>vor 25 Tagen</v>
      </c>
      <c r="C791" s="7" t="str">
        <f>IFERROR(__xludf.DUMMYFUNCTION("""COMPUTED_VALUE"""),"Wissenschaftliche Hilfskraft im Bereich Data Analytics")</f>
        <v>Wissenschaftliche Hilfskraft im Bereich Data Analytics</v>
      </c>
      <c r="D791" s="7" t="str">
        <f>IFERROR(__xludf.DUMMYFUNCTION("""COMPUTED_VALUE"""),"Heilbronn")</f>
        <v>Heilbronn</v>
      </c>
      <c r="E791" s="7" t="str">
        <f>IFERROR(__xludf.DUMMYFUNCTION("""COMPUTED_VALUE"""),"Fraunhofer-Gesellschaft")</f>
        <v>Fraunhofer-Gesellschaft</v>
      </c>
      <c r="F791" s="7" t="str">
        <f>IFERROR(__xludf.DUMMYFUNCTION("""COMPUTED_VALUE"""),"None")</f>
        <v>None</v>
      </c>
      <c r="G791" s="7" t="str">
        <f>IFERROR(__xludf.DUMMYFUNCTION("""COMPUTED_VALUE"""),"No salary data")</f>
        <v>No salary data</v>
      </c>
      <c r="H791" s="7" t="str">
        <f>IFERROR(__xludf.DUMMYFUNCTION("""COMPUTED_VALUE"""),"No salary data")</f>
        <v>No salary data</v>
      </c>
      <c r="I791" s="7" t="str">
        <f>IFERROR(__xludf.DUMMYFUNCTION("""COMPUTED_VALUE"""),"No salary data")</f>
        <v>No salary data</v>
      </c>
      <c r="J791" s="7" t="str">
        <f>IFERROR(__xludf.DUMMYFUNCTION("""COMPUTED_VALUE"""),"Git")</f>
        <v>Git</v>
      </c>
      <c r="K791" s="7" t="str">
        <f>IFERROR(__xludf.DUMMYFUNCTION("""COMPUTED_VALUE"""),"No job type data")</f>
        <v>No job type data</v>
      </c>
      <c r="L791" s="7" t="str">
        <f>IFERROR(__xludf.DUMMYFUNCTION("""COMPUTED_VALUE"""),"4,4")</f>
        <v>4,4</v>
      </c>
      <c r="M791" s="7"/>
      <c r="N791" s="7"/>
      <c r="O791" s="7"/>
    </row>
    <row r="792">
      <c r="A792" s="29">
        <f>IFERROR(__xludf.DUMMYFUNCTION("""COMPUTED_VALUE"""),788.0)</f>
        <v>788</v>
      </c>
      <c r="B792" s="7" t="str">
        <f>IFERROR(__xludf.DUMMYFUNCTION("""COMPUTED_VALUE"""),"Vor mehr als 30 Tagen")</f>
        <v>Vor mehr als 30 Tagen</v>
      </c>
      <c r="C792" s="7" t="str">
        <f>IFERROR(__xludf.DUMMYFUNCTION("""COMPUTED_VALUE"""),"Data Analyst (m/w/d)")</f>
        <v>Data Analyst (m/w/d)</v>
      </c>
      <c r="D792" s="7" t="str">
        <f>IFERROR(__xludf.DUMMYFUNCTION("""COMPUTED_VALUE"""),"Stuttgart")</f>
        <v>Stuttgart</v>
      </c>
      <c r="E792" s="7" t="str">
        <f>IFERROR(__xludf.DUMMYFUNCTION("""COMPUTED_VALUE"""),"MHS Digital GmbH")</f>
        <v>MHS Digital GmbH</v>
      </c>
      <c r="F792" s="7" t="str">
        <f>IFERROR(__xludf.DUMMYFUNCTION("""COMPUTED_VALUE"""),"None")</f>
        <v>None</v>
      </c>
      <c r="G792" s="7" t="str">
        <f>IFERROR(__xludf.DUMMYFUNCTION("""COMPUTED_VALUE"""),"No salary data")</f>
        <v>No salary data</v>
      </c>
      <c r="H792" s="7" t="str">
        <f>IFERROR(__xludf.DUMMYFUNCTION("""COMPUTED_VALUE"""),"No salary data")</f>
        <v>No salary data</v>
      </c>
      <c r="I792" s="7" t="str">
        <f>IFERROR(__xludf.DUMMYFUNCTION("""COMPUTED_VALUE"""),"No salary data")</f>
        <v>No salary data</v>
      </c>
      <c r="J792" s="7" t="str">
        <f>IFERROR(__xludf.DUMMYFUNCTION("""COMPUTED_VALUE"""),"Git, Agile")</f>
        <v>Git, Agile</v>
      </c>
      <c r="K792" s="7" t="str">
        <f>IFERROR(__xludf.DUMMYFUNCTION("""COMPUTED_VALUE"""),"No job type data")</f>
        <v>No job type data</v>
      </c>
      <c r="L792" s="7" t="str">
        <f>IFERROR(__xludf.DUMMYFUNCTION("""COMPUTED_VALUE"""),"None")</f>
        <v>None</v>
      </c>
      <c r="M792" s="7"/>
      <c r="N792" s="7"/>
      <c r="O792" s="7"/>
    </row>
    <row r="793">
      <c r="A793" s="29">
        <f>IFERROR(__xludf.DUMMYFUNCTION("""COMPUTED_VALUE"""),789.0)</f>
        <v>789</v>
      </c>
      <c r="B793" s="7" t="str">
        <f>IFERROR(__xludf.DUMMYFUNCTION("""COMPUTED_VALUE"""),"Vor mehr als 30 Tagen")</f>
        <v>Vor mehr als 30 Tagen</v>
      </c>
      <c r="C793" s="7" t="str">
        <f>IFERROR(__xludf.DUMMYFUNCTION("""COMPUTED_VALUE"""),"DATA SCIENTIST (m/w/d)")</f>
        <v>DATA SCIENTIST (m/w/d)</v>
      </c>
      <c r="D793" s="7" t="str">
        <f>IFERROR(__xludf.DUMMYFUNCTION("""COMPUTED_VALUE"""),"Berlin")</f>
        <v>Berlin</v>
      </c>
      <c r="E793" s="7" t="str">
        <f>IFERROR(__xludf.DUMMYFUNCTION("""COMPUTED_VALUE"""),"sprylab technologies")</f>
        <v>sprylab technologies</v>
      </c>
      <c r="F793" s="7" t="str">
        <f>IFERROR(__xludf.DUMMYFUNCTION("""COMPUTED_VALUE"""),"None")</f>
        <v>None</v>
      </c>
      <c r="G793" s="7" t="str">
        <f>IFERROR(__xludf.DUMMYFUNCTION("""COMPUTED_VALUE"""),"No salary data")</f>
        <v>No salary data</v>
      </c>
      <c r="H793" s="7" t="str">
        <f>IFERROR(__xludf.DUMMYFUNCTION("""COMPUTED_VALUE"""),"No salary data")</f>
        <v>No salary data</v>
      </c>
      <c r="I793" s="7" t="str">
        <f>IFERROR(__xludf.DUMMYFUNCTION("""COMPUTED_VALUE"""),"No salary data")</f>
        <v>No salary data</v>
      </c>
      <c r="J793" s="7" t="str">
        <f>IFERROR(__xludf.DUMMYFUNCTION("""COMPUTED_VALUE"""),"Python, SQL, Machine Learning, Git, Agile")</f>
        <v>Python, SQL, Machine Learning, Git, Agile</v>
      </c>
      <c r="K793" s="7" t="str">
        <f>IFERROR(__xludf.DUMMYFUNCTION("""COMPUTED_VALUE"""),"No job type data")</f>
        <v>No job type data</v>
      </c>
      <c r="L793" s="7" t="str">
        <f>IFERROR(__xludf.DUMMYFUNCTION("""COMPUTED_VALUE"""),"None")</f>
        <v>None</v>
      </c>
      <c r="M793" s="7"/>
      <c r="N793" s="7"/>
      <c r="O793" s="7"/>
    </row>
    <row r="794">
      <c r="A794" s="29">
        <f>IFERROR(__xludf.DUMMYFUNCTION("""COMPUTED_VALUE"""),790.0)</f>
        <v>790</v>
      </c>
      <c r="B794" s="7" t="str">
        <f>IFERROR(__xludf.DUMMYFUNCTION("""COMPUTED_VALUE"""),"vor 20 Tagen")</f>
        <v>vor 20 Tagen</v>
      </c>
      <c r="C794" s="7" t="str">
        <f>IFERROR(__xludf.DUMMYFUNCTION("""COMPUTED_VALUE"""),"2021 Graduate Economic Analyst - Berlin")</f>
        <v>2021 Graduate Economic Analyst - Berlin</v>
      </c>
      <c r="D794" s="7" t="str">
        <f>IFERROR(__xludf.DUMMYFUNCTION("""COMPUTED_VALUE"""),"Berlin")</f>
        <v>Berlin</v>
      </c>
      <c r="E794" s="7" t="str">
        <f>IFERROR(__xludf.DUMMYFUNCTION("""COMPUTED_VALUE"""),"Frontier Economics Limited")</f>
        <v>Frontier Economics Limited</v>
      </c>
      <c r="F794" s="7" t="str">
        <f>IFERROR(__xludf.DUMMYFUNCTION("""COMPUTED_VALUE"""),"None")</f>
        <v>None</v>
      </c>
      <c r="G794" s="7" t="str">
        <f>IFERROR(__xludf.DUMMYFUNCTION("""COMPUTED_VALUE"""),"No salary data")</f>
        <v>No salary data</v>
      </c>
      <c r="H794" s="7" t="str">
        <f>IFERROR(__xludf.DUMMYFUNCTION("""COMPUTED_VALUE"""),"No salary data")</f>
        <v>No salary data</v>
      </c>
      <c r="I794" s="7" t="str">
        <f>IFERROR(__xludf.DUMMYFUNCTION("""COMPUTED_VALUE"""),"No salary data")</f>
        <v>No salary data</v>
      </c>
      <c r="J794" s="7" t="str">
        <f>IFERROR(__xludf.DUMMYFUNCTION("""COMPUTED_VALUE"""),"Excel")</f>
        <v>Excel</v>
      </c>
      <c r="K794" s="7" t="str">
        <f>IFERROR(__xludf.DUMMYFUNCTION("""COMPUTED_VALUE"""),"No job type data")</f>
        <v>No job type data</v>
      </c>
      <c r="L794" s="7" t="str">
        <f>IFERROR(__xludf.DUMMYFUNCTION("""COMPUTED_VALUE"""),"None")</f>
        <v>None</v>
      </c>
      <c r="M794" s="7"/>
      <c r="N794" s="7"/>
      <c r="O794" s="7"/>
    </row>
    <row r="795">
      <c r="A795" s="29">
        <f>IFERROR(__xludf.DUMMYFUNCTION("""COMPUTED_VALUE"""),791.0)</f>
        <v>791</v>
      </c>
      <c r="B795" s="7" t="str">
        <f>IFERROR(__xludf.DUMMYFUNCTION("""COMPUTED_VALUE"""),"Vor mehr als 30 Tagen")</f>
        <v>Vor mehr als 30 Tagen</v>
      </c>
      <c r="C795" s="7" t="str">
        <f>IFERROR(__xludf.DUMMYFUNCTION("""COMPUTED_VALUE"""),"IT-Teamleiter (m/w/d) Data Warehouse &amp; Applikationen für Ver...")</f>
        <v>IT-Teamleiter (m/w/d) Data Warehouse &amp; Applikationen für Ver...</v>
      </c>
      <c r="D795" s="7" t="str">
        <f>IFERROR(__xludf.DUMMYFUNCTION("""COMPUTED_VALUE"""),"Frankfurt am Main")</f>
        <v>Frankfurt am Main</v>
      </c>
      <c r="E795" s="7" t="str">
        <f>IFERROR(__xludf.DUMMYFUNCTION("""COMPUTED_VALUE"""),"ING-DiBa AG")</f>
        <v>ING-DiBa AG</v>
      </c>
      <c r="F795" s="7" t="str">
        <f>IFERROR(__xludf.DUMMYFUNCTION("""COMPUTED_VALUE"""),"None")</f>
        <v>None</v>
      </c>
      <c r="G795" s="7" t="str">
        <f>IFERROR(__xludf.DUMMYFUNCTION("""COMPUTED_VALUE"""),"No salary data")</f>
        <v>No salary data</v>
      </c>
      <c r="H795" s="7" t="str">
        <f>IFERROR(__xludf.DUMMYFUNCTION("""COMPUTED_VALUE"""),"No salary data")</f>
        <v>No salary data</v>
      </c>
      <c r="I795" s="7" t="str">
        <f>IFERROR(__xludf.DUMMYFUNCTION("""COMPUTED_VALUE"""),"No salary data")</f>
        <v>No salary data</v>
      </c>
      <c r="J795" s="7" t="str">
        <f>IFERROR(__xludf.DUMMYFUNCTION("""COMPUTED_VALUE"""),"Agile")</f>
        <v>Agile</v>
      </c>
      <c r="K795" s="7" t="str">
        <f>IFERROR(__xludf.DUMMYFUNCTION("""COMPUTED_VALUE"""),"No job type data")</f>
        <v>No job type data</v>
      </c>
      <c r="L795" s="7" t="str">
        <f>IFERROR(__xludf.DUMMYFUNCTION("""COMPUTED_VALUE"""),"3,6")</f>
        <v>3,6</v>
      </c>
      <c r="M795" s="7"/>
      <c r="N795" s="7"/>
      <c r="O795" s="7"/>
    </row>
    <row r="796">
      <c r="A796" s="29">
        <f>IFERROR(__xludf.DUMMYFUNCTION("""COMPUTED_VALUE"""),792.0)</f>
        <v>792</v>
      </c>
      <c r="B796" s="7" t="str">
        <f>IFERROR(__xludf.DUMMYFUNCTION("""COMPUTED_VALUE"""),"Heute")</f>
        <v>Heute</v>
      </c>
      <c r="C796" s="7" t="str">
        <f>IFERROR(__xludf.DUMMYFUNCTION("""COMPUTED_VALUE"""),"Teamleiter (m/w/d) Artikelstammdaten / Master Data Managemen...")</f>
        <v>Teamleiter (m/w/d) Artikelstammdaten / Master Data Managemen...</v>
      </c>
      <c r="D796" s="7" t="str">
        <f>IFERROR(__xludf.DUMMYFUNCTION("""COMPUTED_VALUE"""),"Düsseldorf")</f>
        <v>Düsseldorf</v>
      </c>
      <c r="E796" s="7" t="str">
        <f>IFERROR(__xludf.DUMMYFUNCTION("""COMPUTED_VALUE"""),"METRO AG")</f>
        <v>METRO AG</v>
      </c>
      <c r="F796" s="7" t="str">
        <f>IFERROR(__xludf.DUMMYFUNCTION("""COMPUTED_VALUE"""),"None")</f>
        <v>None</v>
      </c>
      <c r="G796" s="7" t="str">
        <f>IFERROR(__xludf.DUMMYFUNCTION("""COMPUTED_VALUE"""),"No salary data")</f>
        <v>No salary data</v>
      </c>
      <c r="H796" s="7" t="str">
        <f>IFERROR(__xludf.DUMMYFUNCTION("""COMPUTED_VALUE"""),"No salary data")</f>
        <v>No salary data</v>
      </c>
      <c r="I796" s="7" t="str">
        <f>IFERROR(__xludf.DUMMYFUNCTION("""COMPUTED_VALUE"""),"No salary data")</f>
        <v>No salary data</v>
      </c>
      <c r="J796" s="7" t="str">
        <f>IFERROR(__xludf.DUMMYFUNCTION("""COMPUTED_VALUE"""),"Git")</f>
        <v>Git</v>
      </c>
      <c r="K796" s="7" t="str">
        <f>IFERROR(__xludf.DUMMYFUNCTION("""COMPUTED_VALUE"""),"No job type data")</f>
        <v>No job type data</v>
      </c>
      <c r="L796" s="7" t="str">
        <f>IFERROR(__xludf.DUMMYFUNCTION("""COMPUTED_VALUE"""),"3,9")</f>
        <v>3,9</v>
      </c>
      <c r="M796" s="7"/>
      <c r="N796" s="7"/>
      <c r="O796" s="7"/>
    </row>
    <row r="797">
      <c r="A797" s="29">
        <f>IFERROR(__xludf.DUMMYFUNCTION("""COMPUTED_VALUE"""),793.0)</f>
        <v>793</v>
      </c>
      <c r="B797" s="7" t="str">
        <f>IFERROR(__xludf.DUMMYFUNCTION("""COMPUTED_VALUE"""),"Vor mehr als 30 Tagen")</f>
        <v>Vor mehr als 30 Tagen</v>
      </c>
      <c r="C797" s="7" t="str">
        <f>IFERROR(__xludf.DUMMYFUNCTION("""COMPUTED_VALUE"""),"Analytics Expert (m/w/d) im Bereich Data Driven Sales &amp; Mark...")</f>
        <v>Analytics Expert (m/w/d) im Bereich Data Driven Sales &amp; Mark...</v>
      </c>
      <c r="D797" s="7" t="str">
        <f>IFERROR(__xludf.DUMMYFUNCTION("""COMPUTED_VALUE"""),"Hamburg")</f>
        <v>Hamburg</v>
      </c>
      <c r="E797" s="7" t="str">
        <f>IFERROR(__xludf.DUMMYFUNCTION("""COMPUTED_VALUE"""),"Datalogue GmbH")</f>
        <v>Datalogue GmbH</v>
      </c>
      <c r="F797" s="7" t="str">
        <f>IFERROR(__xludf.DUMMYFUNCTION("""COMPUTED_VALUE"""),"None")</f>
        <v>None</v>
      </c>
      <c r="G797" s="7" t="str">
        <f>IFERROR(__xludf.DUMMYFUNCTION("""COMPUTED_VALUE"""),"No salary data")</f>
        <v>No salary data</v>
      </c>
      <c r="H797" s="7" t="str">
        <f>IFERROR(__xludf.DUMMYFUNCTION("""COMPUTED_VALUE"""),"No salary data")</f>
        <v>No salary data</v>
      </c>
      <c r="I797" s="7" t="str">
        <f>IFERROR(__xludf.DUMMYFUNCTION("""COMPUTED_VALUE"""),"No salary data")</f>
        <v>No salary data</v>
      </c>
      <c r="J797" s="7" t="str">
        <f>IFERROR(__xludf.DUMMYFUNCTION("""COMPUTED_VALUE"""),"Python")</f>
        <v>Python</v>
      </c>
      <c r="K797" s="7" t="str">
        <f>IFERROR(__xludf.DUMMYFUNCTION("""COMPUTED_VALUE"""),"No job type data")</f>
        <v>No job type data</v>
      </c>
      <c r="L797" s="7" t="str">
        <f>IFERROR(__xludf.DUMMYFUNCTION("""COMPUTED_VALUE"""),"None")</f>
        <v>None</v>
      </c>
      <c r="M797" s="7"/>
      <c r="N797" s="7"/>
      <c r="O797" s="7"/>
    </row>
    <row r="798">
      <c r="A798" s="29">
        <f>IFERROR(__xludf.DUMMYFUNCTION("""COMPUTED_VALUE"""),794.0)</f>
        <v>794</v>
      </c>
      <c r="B798" s="7" t="str">
        <f>IFERROR(__xludf.DUMMYFUNCTION("""COMPUTED_VALUE"""),"vor 24 Tagen")</f>
        <v>vor 24 Tagen</v>
      </c>
      <c r="C798" s="7" t="str">
        <f>IFERROR(__xludf.DUMMYFUNCTION("""COMPUTED_VALUE"""),"Consultant Data Analytics (w/m/d)")</f>
        <v>Consultant Data Analytics (w/m/d)</v>
      </c>
      <c r="D798" s="7" t="str">
        <f>IFERROR(__xludf.DUMMYFUNCTION("""COMPUTED_VALUE"""),"Stuttgart")</f>
        <v>Stuttgart</v>
      </c>
      <c r="E798" s="7" t="str">
        <f>IFERROR(__xludf.DUMMYFUNCTION("""COMPUTED_VALUE"""),"PwC")</f>
        <v>PwC</v>
      </c>
      <c r="F798" s="7" t="str">
        <f>IFERROR(__xludf.DUMMYFUNCTION("""COMPUTED_VALUE"""),"None")</f>
        <v>None</v>
      </c>
      <c r="G798" s="7" t="str">
        <f>IFERROR(__xludf.DUMMYFUNCTION("""COMPUTED_VALUE"""),"No salary data")</f>
        <v>No salary data</v>
      </c>
      <c r="H798" s="7" t="str">
        <f>IFERROR(__xludf.DUMMYFUNCTION("""COMPUTED_VALUE"""),"No salary data")</f>
        <v>No salary data</v>
      </c>
      <c r="I798" s="7" t="str">
        <f>IFERROR(__xludf.DUMMYFUNCTION("""COMPUTED_VALUE"""),"No salary data")</f>
        <v>No salary data</v>
      </c>
      <c r="J798" s="7" t="str">
        <f>IFERROR(__xludf.DUMMYFUNCTION("""COMPUTED_VALUE"""),"Python, Tableau, Machine Learning, Git")</f>
        <v>Python, Tableau, Machine Learning, Git</v>
      </c>
      <c r="K798" s="7" t="str">
        <f>IFERROR(__xludf.DUMMYFUNCTION("""COMPUTED_VALUE"""),"No job type data")</f>
        <v>No job type data</v>
      </c>
      <c r="L798" s="7" t="str">
        <f>IFERROR(__xludf.DUMMYFUNCTION("""COMPUTED_VALUE"""),"4,0")</f>
        <v>4,0</v>
      </c>
      <c r="M798" s="7"/>
      <c r="N798" s="7"/>
      <c r="O798" s="7"/>
    </row>
    <row r="799">
      <c r="A799" s="29">
        <f>IFERROR(__xludf.DUMMYFUNCTION("""COMPUTED_VALUE"""),795.0)</f>
        <v>795</v>
      </c>
      <c r="B799" s="7" t="str">
        <f>IFERROR(__xludf.DUMMYFUNCTION("""COMPUTED_VALUE"""),"vor 24 Tagen")</f>
        <v>vor 24 Tagen</v>
      </c>
      <c r="C799" s="7" t="str">
        <f>IFERROR(__xludf.DUMMYFUNCTION("""COMPUTED_VALUE"""),"Data Quality Management &amp; Governance Analyst (f/m/d)")</f>
        <v>Data Quality Management &amp; Governance Analyst (f/m/d)</v>
      </c>
      <c r="D799" s="7" t="str">
        <f>IFERROR(__xludf.DUMMYFUNCTION("""COMPUTED_VALUE"""),"Frankfurt am Main")</f>
        <v>Frankfurt am Main</v>
      </c>
      <c r="E799" s="7" t="str">
        <f>IFERROR(__xludf.DUMMYFUNCTION("""COMPUTED_VALUE"""),"PwC")</f>
        <v>PwC</v>
      </c>
      <c r="F799" s="7" t="str">
        <f>IFERROR(__xludf.DUMMYFUNCTION("""COMPUTED_VALUE"""),"None")</f>
        <v>None</v>
      </c>
      <c r="G799" s="7" t="str">
        <f>IFERROR(__xludf.DUMMYFUNCTION("""COMPUTED_VALUE"""),"No salary data")</f>
        <v>No salary data</v>
      </c>
      <c r="H799" s="7" t="str">
        <f>IFERROR(__xludf.DUMMYFUNCTION("""COMPUTED_VALUE"""),"No salary data")</f>
        <v>No salary data</v>
      </c>
      <c r="I799" s="7" t="str">
        <f>IFERROR(__xludf.DUMMYFUNCTION("""COMPUTED_VALUE"""),"No salary data")</f>
        <v>No salary data</v>
      </c>
      <c r="J799" s="7" t="str">
        <f>IFERROR(__xludf.DUMMYFUNCTION("""COMPUTED_VALUE"""),"Git")</f>
        <v>Git</v>
      </c>
      <c r="K799" s="7" t="str">
        <f>IFERROR(__xludf.DUMMYFUNCTION("""COMPUTED_VALUE"""),"No job type data")</f>
        <v>No job type data</v>
      </c>
      <c r="L799" s="7" t="str">
        <f>IFERROR(__xludf.DUMMYFUNCTION("""COMPUTED_VALUE"""),"4,0")</f>
        <v>4,0</v>
      </c>
      <c r="M799" s="7"/>
      <c r="N799" s="7"/>
      <c r="O799" s="7"/>
    </row>
    <row r="800">
      <c r="A800" s="29">
        <f>IFERROR(__xludf.DUMMYFUNCTION("""COMPUTED_VALUE"""),796.0)</f>
        <v>796</v>
      </c>
      <c r="B800" s="7" t="str">
        <f>IFERROR(__xludf.DUMMYFUNCTION("""COMPUTED_VALUE"""),"Vor mehr als 30 Tagen")</f>
        <v>Vor mehr als 30 Tagen</v>
      </c>
      <c r="C800" s="7" t="str">
        <f>IFERROR(__xludf.DUMMYFUNCTION("""COMPUTED_VALUE"""),"Leading Data Architect")</f>
        <v>Leading Data Architect</v>
      </c>
      <c r="D800" s="7" t="str">
        <f>IFERROR(__xludf.DUMMYFUNCTION("""COMPUTED_VALUE"""),"Leipzig")</f>
        <v>Leipzig</v>
      </c>
      <c r="E800" s="7" t="str">
        <f>IFERROR(__xludf.DUMMYFUNCTION("""COMPUTED_VALUE"""),"Webfleet Solutions")</f>
        <v>Webfleet Solutions</v>
      </c>
      <c r="F800" s="7" t="str">
        <f>IFERROR(__xludf.DUMMYFUNCTION("""COMPUTED_VALUE"""),"None")</f>
        <v>None</v>
      </c>
      <c r="G800" s="7" t="str">
        <f>IFERROR(__xludf.DUMMYFUNCTION("""COMPUTED_VALUE"""),"No salary data")</f>
        <v>No salary data</v>
      </c>
      <c r="H800" s="7" t="str">
        <f>IFERROR(__xludf.DUMMYFUNCTION("""COMPUTED_VALUE"""),"No salary data")</f>
        <v>No salary data</v>
      </c>
      <c r="I800" s="7" t="str">
        <f>IFERROR(__xludf.DUMMYFUNCTION("""COMPUTED_VALUE"""),"No salary data")</f>
        <v>No salary data</v>
      </c>
      <c r="J800" s="7"/>
      <c r="K800" s="7" t="str">
        <f>IFERROR(__xludf.DUMMYFUNCTION("""COMPUTED_VALUE"""),"No job type data")</f>
        <v>No job type data</v>
      </c>
      <c r="L800" s="7" t="str">
        <f>IFERROR(__xludf.DUMMYFUNCTION("""COMPUTED_VALUE"""),"None")</f>
        <v>None</v>
      </c>
      <c r="M800" s="7"/>
      <c r="N800" s="7"/>
      <c r="O800" s="7"/>
    </row>
    <row r="801">
      <c r="A801" s="29">
        <f>IFERROR(__xludf.DUMMYFUNCTION("""COMPUTED_VALUE"""),797.0)</f>
        <v>797</v>
      </c>
      <c r="B801" s="7" t="str">
        <f>IFERROR(__xludf.DUMMYFUNCTION("""COMPUTED_VALUE"""),"Vor mehr als 30 Tagen")</f>
        <v>Vor mehr als 30 Tagen</v>
      </c>
      <c r="C801" s="7" t="str">
        <f>IFERROR(__xludf.DUMMYFUNCTION("""COMPUTED_VALUE"""),"International career opportunities")</f>
        <v>International career opportunities</v>
      </c>
      <c r="D801" s="7" t="str">
        <f>IFERROR(__xludf.DUMMYFUNCTION("""COMPUTED_VALUE"""),"München")</f>
        <v>München</v>
      </c>
      <c r="E801" s="7" t="str">
        <f>IFERROR(__xludf.DUMMYFUNCTION("""COMPUTED_VALUE"""),"Solita")</f>
        <v>Solita</v>
      </c>
      <c r="F801" s="7" t="str">
        <f>IFERROR(__xludf.DUMMYFUNCTION("""COMPUTED_VALUE"""),"None")</f>
        <v>None</v>
      </c>
      <c r="G801" s="7" t="str">
        <f>IFERROR(__xludf.DUMMYFUNCTION("""COMPUTED_VALUE"""),"No salary data")</f>
        <v>No salary data</v>
      </c>
      <c r="H801" s="7" t="str">
        <f>IFERROR(__xludf.DUMMYFUNCTION("""COMPUTED_VALUE"""),"No salary data")</f>
        <v>No salary data</v>
      </c>
      <c r="I801" s="7" t="str">
        <f>IFERROR(__xludf.DUMMYFUNCTION("""COMPUTED_VALUE"""),"No salary data")</f>
        <v>No salary data</v>
      </c>
      <c r="J801" s="7"/>
      <c r="K801" s="7" t="str">
        <f>IFERROR(__xludf.DUMMYFUNCTION("""COMPUTED_VALUE"""),"No job type data")</f>
        <v>No job type data</v>
      </c>
      <c r="L801" s="7" t="str">
        <f>IFERROR(__xludf.DUMMYFUNCTION("""COMPUTED_VALUE"""),"None")</f>
        <v>None</v>
      </c>
      <c r="M801" s="7"/>
      <c r="N801" s="7"/>
      <c r="O801" s="7"/>
    </row>
    <row r="802">
      <c r="A802" s="29">
        <f>IFERROR(__xludf.DUMMYFUNCTION("""COMPUTED_VALUE"""),798.0)</f>
        <v>798</v>
      </c>
      <c r="B802" s="7" t="str">
        <f>IFERROR(__xludf.DUMMYFUNCTION("""COMPUTED_VALUE"""),"vor 12 Tagen")</f>
        <v>vor 12 Tagen</v>
      </c>
      <c r="C802" s="7" t="str">
        <f>IFERROR(__xludf.DUMMYFUNCTION("""COMPUTED_VALUE"""),"Data Analyst - Business (m/f/x)")</f>
        <v>Data Analyst - Business (m/f/x)</v>
      </c>
      <c r="D802" s="7" t="str">
        <f>IFERROR(__xludf.DUMMYFUNCTION("""COMPUTED_VALUE"""),"Berlin-Kreuzberg")</f>
        <v>Berlin-Kreuzberg</v>
      </c>
      <c r="E802" s="7" t="str">
        <f>IFERROR(__xludf.DUMMYFUNCTION("""COMPUTED_VALUE"""),"Trade Republic Bank GmbH")</f>
        <v>Trade Republic Bank GmbH</v>
      </c>
      <c r="F802" s="7" t="str">
        <f>IFERROR(__xludf.DUMMYFUNCTION("""COMPUTED_VALUE"""),"None")</f>
        <v>None</v>
      </c>
      <c r="G802" s="7" t="str">
        <f>IFERROR(__xludf.DUMMYFUNCTION("""COMPUTED_VALUE"""),"No salary data")</f>
        <v>No salary data</v>
      </c>
      <c r="H802" s="7" t="str">
        <f>IFERROR(__xludf.DUMMYFUNCTION("""COMPUTED_VALUE"""),"No salary data")</f>
        <v>No salary data</v>
      </c>
      <c r="I802" s="7" t="str">
        <f>IFERROR(__xludf.DUMMYFUNCTION("""COMPUTED_VALUE"""),"No salary data")</f>
        <v>No salary data</v>
      </c>
      <c r="J802" s="7" t="str">
        <f>IFERROR(__xludf.DUMMYFUNCTION("""COMPUTED_VALUE"""),"SQL, Tableau, Statistic")</f>
        <v>SQL, Tableau, Statistic</v>
      </c>
      <c r="K802" s="7" t="str">
        <f>IFERROR(__xludf.DUMMYFUNCTION("""COMPUTED_VALUE"""),"No job type data")</f>
        <v>No job type data</v>
      </c>
      <c r="L802" s="7" t="str">
        <f>IFERROR(__xludf.DUMMYFUNCTION("""COMPUTED_VALUE"""),"None")</f>
        <v>None</v>
      </c>
      <c r="M802" s="7"/>
      <c r="N802" s="7"/>
      <c r="O802" s="7"/>
    </row>
    <row r="803">
      <c r="A803" s="29">
        <f>IFERROR(__xludf.DUMMYFUNCTION("""COMPUTED_VALUE"""),799.0)</f>
        <v>799</v>
      </c>
      <c r="B803" s="7" t="str">
        <f>IFERROR(__xludf.DUMMYFUNCTION("""COMPUTED_VALUE"""),"vor 10 Tagen")</f>
        <v>vor 10 Tagen</v>
      </c>
      <c r="C803" s="7" t="str">
        <f>IFERROR(__xludf.DUMMYFUNCTION("""COMPUTED_VALUE"""),"PhD positions | Engineering and Mathematics (m/f/d)")</f>
        <v>PhD positions | Engineering and Mathematics (m/f/d)</v>
      </c>
      <c r="D803" s="7" t="str">
        <f>IFERROR(__xludf.DUMMYFUNCTION("""COMPUTED_VALUE"""),"Magdeburg")</f>
        <v>Magdeburg</v>
      </c>
      <c r="E803" s="7" t="str">
        <f>IFERROR(__xludf.DUMMYFUNCTION("""COMPUTED_VALUE"""),"Max Planck Institute for Dynamics of Complex Techn...")</f>
        <v>Max Planck Institute for Dynamics of Complex Techn...</v>
      </c>
      <c r="F803" s="7" t="str">
        <f>IFERROR(__xludf.DUMMYFUNCTION("""COMPUTED_VALUE"""),"None")</f>
        <v>None</v>
      </c>
      <c r="G803" s="7" t="str">
        <f>IFERROR(__xludf.DUMMYFUNCTION("""COMPUTED_VALUE"""),"No salary data")</f>
        <v>No salary data</v>
      </c>
      <c r="H803" s="7" t="str">
        <f>IFERROR(__xludf.DUMMYFUNCTION("""COMPUTED_VALUE"""),"No salary data")</f>
        <v>No salary data</v>
      </c>
      <c r="I803" s="7" t="str">
        <f>IFERROR(__xludf.DUMMYFUNCTION("""COMPUTED_VALUE"""),"No salary data")</f>
        <v>No salary data</v>
      </c>
      <c r="J803" s="7" t="str">
        <f>IFERROR(__xludf.DUMMYFUNCTION("""COMPUTED_VALUE"""),"Excel")</f>
        <v>Excel</v>
      </c>
      <c r="K803" s="7" t="str">
        <f>IFERROR(__xludf.DUMMYFUNCTION("""COMPUTED_VALUE"""),"Contract")</f>
        <v>Contract</v>
      </c>
      <c r="L803" s="7" t="str">
        <f>IFERROR(__xludf.DUMMYFUNCTION("""COMPUTED_VALUE"""),"None")</f>
        <v>None</v>
      </c>
      <c r="M803" s="7"/>
      <c r="N803" s="7"/>
      <c r="O803" s="7"/>
    </row>
    <row r="804">
      <c r="A804" s="29">
        <f>IFERROR(__xludf.DUMMYFUNCTION("""COMPUTED_VALUE"""),800.0)</f>
        <v>800</v>
      </c>
      <c r="B804" s="7" t="str">
        <f>IFERROR(__xludf.DUMMYFUNCTION("""COMPUTED_VALUE"""),"vor 26 Tagen")</f>
        <v>vor 26 Tagen</v>
      </c>
      <c r="C804" s="7" t="str">
        <f>IFERROR(__xludf.DUMMYFUNCTION("""COMPUTED_VALUE"""),"Data Pipeline Engineer (m/f/x)")</f>
        <v>Data Pipeline Engineer (m/f/x)</v>
      </c>
      <c r="D804" s="7" t="str">
        <f>IFERROR(__xludf.DUMMYFUNCTION("""COMPUTED_VALUE"""),"München")</f>
        <v>München</v>
      </c>
      <c r="E804" s="7" t="str">
        <f>IFERROR(__xludf.DUMMYFUNCTION("""COMPUTED_VALUE"""),"Celonis")</f>
        <v>Celonis</v>
      </c>
      <c r="F804" s="7" t="str">
        <f>IFERROR(__xludf.DUMMYFUNCTION("""COMPUTED_VALUE"""),"None")</f>
        <v>None</v>
      </c>
      <c r="G804" s="7" t="str">
        <f>IFERROR(__xludf.DUMMYFUNCTION("""COMPUTED_VALUE"""),"No salary data")</f>
        <v>No salary data</v>
      </c>
      <c r="H804" s="7" t="str">
        <f>IFERROR(__xludf.DUMMYFUNCTION("""COMPUTED_VALUE"""),"No salary data")</f>
        <v>No salary data</v>
      </c>
      <c r="I804" s="7" t="str">
        <f>IFERROR(__xludf.DUMMYFUNCTION("""COMPUTED_VALUE"""),"No salary data")</f>
        <v>No salary data</v>
      </c>
      <c r="J804" s="7" t="str">
        <f>IFERROR(__xludf.DUMMYFUNCTION("""COMPUTED_VALUE"""),"Python, SQL, Excel, Agile")</f>
        <v>Python, SQL, Excel, Agile</v>
      </c>
      <c r="K804" s="7" t="str">
        <f>IFERROR(__xludf.DUMMYFUNCTION("""COMPUTED_VALUE"""),"No job type data")</f>
        <v>No job type data</v>
      </c>
      <c r="L804" s="7" t="str">
        <f>IFERROR(__xludf.DUMMYFUNCTION("""COMPUTED_VALUE"""),"4,3")</f>
        <v>4,3</v>
      </c>
      <c r="M804" s="7"/>
      <c r="N804" s="7"/>
      <c r="O804" s="7"/>
    </row>
    <row r="805">
      <c r="A805" s="29">
        <f>IFERROR(__xludf.DUMMYFUNCTION("""COMPUTED_VALUE"""),801.0)</f>
        <v>801</v>
      </c>
      <c r="B805" s="7" t="str">
        <f>IFERROR(__xludf.DUMMYFUNCTION("""COMPUTED_VALUE"""),"Vor mehr als 30 Tagen")</f>
        <v>Vor mehr als 30 Tagen</v>
      </c>
      <c r="C805" s="7" t="str">
        <f>IFERROR(__xludf.DUMMYFUNCTION("""COMPUTED_VALUE"""),"Data Scientist Praktikant/in")</f>
        <v>Data Scientist Praktikant/in</v>
      </c>
      <c r="D805" s="7" t="str">
        <f>IFERROR(__xludf.DUMMYFUNCTION("""COMPUTED_VALUE"""),"Berlin")</f>
        <v>Berlin</v>
      </c>
      <c r="E805" s="7" t="str">
        <f>IFERROR(__xludf.DUMMYFUNCTION("""COMPUTED_VALUE"""),"Virtenio GmbH")</f>
        <v>Virtenio GmbH</v>
      </c>
      <c r="F805" s="7" t="str">
        <f>IFERROR(__xludf.DUMMYFUNCTION("""COMPUTED_VALUE"""),"None")</f>
        <v>None</v>
      </c>
      <c r="G805" s="7" t="str">
        <f>IFERROR(__xludf.DUMMYFUNCTION("""COMPUTED_VALUE"""),"No salary data")</f>
        <v>No salary data</v>
      </c>
      <c r="H805" s="7" t="str">
        <f>IFERROR(__xludf.DUMMYFUNCTION("""COMPUTED_VALUE"""),"No salary data")</f>
        <v>No salary data</v>
      </c>
      <c r="I805" s="7" t="str">
        <f>IFERROR(__xludf.DUMMYFUNCTION("""COMPUTED_VALUE"""),"No salary data")</f>
        <v>No salary data</v>
      </c>
      <c r="J805" s="7" t="str">
        <f>IFERROR(__xludf.DUMMYFUNCTION("""COMPUTED_VALUE"""),"Python, SQL, Machine Learning")</f>
        <v>Python, SQL, Machine Learning</v>
      </c>
      <c r="K805" s="7" t="str">
        <f>IFERROR(__xludf.DUMMYFUNCTION("""COMPUTED_VALUE"""),"No job type data")</f>
        <v>No job type data</v>
      </c>
      <c r="L805" s="7" t="str">
        <f>IFERROR(__xludf.DUMMYFUNCTION("""COMPUTED_VALUE"""),"None")</f>
        <v>None</v>
      </c>
      <c r="M805" s="7"/>
      <c r="N805" s="7"/>
      <c r="O805" s="7"/>
    </row>
    <row r="806">
      <c r="A806" s="29">
        <f>IFERROR(__xludf.DUMMYFUNCTION("""COMPUTED_VALUE"""),802.0)</f>
        <v>802</v>
      </c>
      <c r="B806" s="7" t="str">
        <f>IFERROR(__xludf.DUMMYFUNCTION("""COMPUTED_VALUE"""),"Vor mehr als 30 Tagen")</f>
        <v>Vor mehr als 30 Tagen</v>
      </c>
      <c r="C806" s="7" t="str">
        <f>IFERROR(__xludf.DUMMYFUNCTION("""COMPUTED_VALUE"""),"Data Science Consultant (m/w/d)")</f>
        <v>Data Science Consultant (m/w/d)</v>
      </c>
      <c r="D806" s="7" t="str">
        <f>IFERROR(__xludf.DUMMYFUNCTION("""COMPUTED_VALUE"""),"Bonn")</f>
        <v>Bonn</v>
      </c>
      <c r="E806" s="7" t="str">
        <f>IFERROR(__xludf.DUMMYFUNCTION("""COMPUTED_VALUE"""),"Comma Soft")</f>
        <v>Comma Soft</v>
      </c>
      <c r="F806" s="7" t="str">
        <f>IFERROR(__xludf.DUMMYFUNCTION("""COMPUTED_VALUE"""),"None")</f>
        <v>None</v>
      </c>
      <c r="G806" s="7" t="str">
        <f>IFERROR(__xludf.DUMMYFUNCTION("""COMPUTED_VALUE"""),"No salary data")</f>
        <v>No salary data</v>
      </c>
      <c r="H806" s="7" t="str">
        <f>IFERROR(__xludf.DUMMYFUNCTION("""COMPUTED_VALUE"""),"No salary data")</f>
        <v>No salary data</v>
      </c>
      <c r="I806" s="7" t="str">
        <f>IFERROR(__xludf.DUMMYFUNCTION("""COMPUTED_VALUE"""),"No salary data")</f>
        <v>No salary data</v>
      </c>
      <c r="J806" s="7" t="str">
        <f>IFERROR(__xludf.DUMMYFUNCTION("""COMPUTED_VALUE"""),"Python")</f>
        <v>Python</v>
      </c>
      <c r="K806" s="7" t="str">
        <f>IFERROR(__xludf.DUMMYFUNCTION("""COMPUTED_VALUE"""),"No job type data")</f>
        <v>No job type data</v>
      </c>
      <c r="L806" s="7" t="str">
        <f>IFERROR(__xludf.DUMMYFUNCTION("""COMPUTED_VALUE"""),"None")</f>
        <v>None</v>
      </c>
      <c r="M806" s="7"/>
      <c r="N806" s="7"/>
      <c r="O806" s="7"/>
    </row>
    <row r="807">
      <c r="A807" s="29">
        <f>IFERROR(__xludf.DUMMYFUNCTION("""COMPUTED_VALUE"""),803.0)</f>
        <v>803</v>
      </c>
      <c r="B807" s="7" t="str">
        <f>IFERROR(__xludf.DUMMYFUNCTION("""COMPUTED_VALUE"""),"Vor mehr als 30 Tagen")</f>
        <v>Vor mehr als 30 Tagen</v>
      </c>
      <c r="C807" s="7" t="str">
        <f>IFERROR(__xludf.DUMMYFUNCTION("""COMPUTED_VALUE"""),"Statistician/Data Scientist")</f>
        <v>Statistician/Data Scientist</v>
      </c>
      <c r="D807" s="7" t="str">
        <f>IFERROR(__xludf.DUMMYFUNCTION("""COMPUTED_VALUE"""),"München")</f>
        <v>München</v>
      </c>
      <c r="E807" s="7" t="str">
        <f>IFERROR(__xludf.DUMMYFUNCTION("""COMPUTED_VALUE"""),"GAF AG")</f>
        <v>GAF AG</v>
      </c>
      <c r="F807" s="7" t="str">
        <f>IFERROR(__xludf.DUMMYFUNCTION("""COMPUTED_VALUE"""),"None")</f>
        <v>None</v>
      </c>
      <c r="G807" s="7" t="str">
        <f>IFERROR(__xludf.DUMMYFUNCTION("""COMPUTED_VALUE"""),"No salary data")</f>
        <v>No salary data</v>
      </c>
      <c r="H807" s="7" t="str">
        <f>IFERROR(__xludf.DUMMYFUNCTION("""COMPUTED_VALUE"""),"No salary data")</f>
        <v>No salary data</v>
      </c>
      <c r="I807" s="7" t="str">
        <f>IFERROR(__xludf.DUMMYFUNCTION("""COMPUTED_VALUE"""),"No salary data")</f>
        <v>No salary data</v>
      </c>
      <c r="J807" s="7" t="str">
        <f>IFERROR(__xludf.DUMMYFUNCTION("""COMPUTED_VALUE"""),"Excel, Statistic, Agile")</f>
        <v>Excel, Statistic, Agile</v>
      </c>
      <c r="K807" s="7" t="str">
        <f>IFERROR(__xludf.DUMMYFUNCTION("""COMPUTED_VALUE"""),"No job type data")</f>
        <v>No job type data</v>
      </c>
      <c r="L807" s="7" t="str">
        <f>IFERROR(__xludf.DUMMYFUNCTION("""COMPUTED_VALUE"""),"3,0")</f>
        <v>3,0</v>
      </c>
      <c r="M807" s="7"/>
      <c r="N807" s="7"/>
      <c r="O807" s="7"/>
    </row>
    <row r="808">
      <c r="A808" s="29">
        <f>IFERROR(__xludf.DUMMYFUNCTION("""COMPUTED_VALUE"""),804.0)</f>
        <v>804</v>
      </c>
      <c r="B808" s="7" t="str">
        <f>IFERROR(__xludf.DUMMYFUNCTION("""COMPUTED_VALUE"""),"Vor mehr als 30 Tagen")</f>
        <v>Vor mehr als 30 Tagen</v>
      </c>
      <c r="C808" s="7" t="str">
        <f>IFERROR(__xludf.DUMMYFUNCTION("""COMPUTED_VALUE"""),"Data Engineer (m/w/d)")</f>
        <v>Data Engineer (m/w/d)</v>
      </c>
      <c r="D808" s="7" t="str">
        <f>IFERROR(__xludf.DUMMYFUNCTION("""COMPUTED_VALUE"""),"Würzburg")</f>
        <v>Würzburg</v>
      </c>
      <c r="E808" s="7" t="str">
        <f>IFERROR(__xludf.DUMMYFUNCTION("""COMPUTED_VALUE"""),"intense")</f>
        <v>intense</v>
      </c>
      <c r="F808" s="7" t="str">
        <f>IFERROR(__xludf.DUMMYFUNCTION("""COMPUTED_VALUE"""),"None")</f>
        <v>None</v>
      </c>
      <c r="G808" s="7" t="str">
        <f>IFERROR(__xludf.DUMMYFUNCTION("""COMPUTED_VALUE"""),"No salary data")</f>
        <v>No salary data</v>
      </c>
      <c r="H808" s="7" t="str">
        <f>IFERROR(__xludf.DUMMYFUNCTION("""COMPUTED_VALUE"""),"No salary data")</f>
        <v>No salary data</v>
      </c>
      <c r="I808" s="7" t="str">
        <f>IFERROR(__xludf.DUMMYFUNCTION("""COMPUTED_VALUE"""),"No salary data")</f>
        <v>No salary data</v>
      </c>
      <c r="J808" s="7" t="str">
        <f>IFERROR(__xludf.DUMMYFUNCTION("""COMPUTED_VALUE"""),"SQL, Agile")</f>
        <v>SQL, Agile</v>
      </c>
      <c r="K808" s="7" t="str">
        <f>IFERROR(__xludf.DUMMYFUNCTION("""COMPUTED_VALUE"""),"No job type data")</f>
        <v>No job type data</v>
      </c>
      <c r="L808" s="7" t="str">
        <f>IFERROR(__xludf.DUMMYFUNCTION("""COMPUTED_VALUE"""),"None")</f>
        <v>None</v>
      </c>
      <c r="M808" s="7"/>
      <c r="N808" s="7"/>
      <c r="O808" s="7"/>
    </row>
    <row r="809">
      <c r="A809" s="29">
        <f>IFERROR(__xludf.DUMMYFUNCTION("""COMPUTED_VALUE"""),805.0)</f>
        <v>805</v>
      </c>
      <c r="B809" s="7" t="str">
        <f>IFERROR(__xludf.DUMMYFUNCTION("""COMPUTED_VALUE"""),"Vor mehr als 30 Tagen")</f>
        <v>Vor mehr als 30 Tagen</v>
      </c>
      <c r="C809" s="7" t="str">
        <f>IFERROR(__xludf.DUMMYFUNCTION("""COMPUTED_VALUE"""),"Data Engineer (m/w/d) Frankfurt, Hamburg, Karlsruhe")</f>
        <v>Data Engineer (m/w/d) Frankfurt, Hamburg, Karlsruhe</v>
      </c>
      <c r="D809" s="7" t="str">
        <f>IFERROR(__xludf.DUMMYFUNCTION("""COMPUTED_VALUE"""),"Hamburg")</f>
        <v>Hamburg</v>
      </c>
      <c r="E809" s="7" t="str">
        <f>IFERROR(__xludf.DUMMYFUNCTION("""COMPUTED_VALUE"""),"Tallence GmbH")</f>
        <v>Tallence GmbH</v>
      </c>
      <c r="F809" s="7" t="str">
        <f>IFERROR(__xludf.DUMMYFUNCTION("""COMPUTED_VALUE"""),"None")</f>
        <v>None</v>
      </c>
      <c r="G809" s="7" t="str">
        <f>IFERROR(__xludf.DUMMYFUNCTION("""COMPUTED_VALUE"""),"No salary data")</f>
        <v>No salary data</v>
      </c>
      <c r="H809" s="7" t="str">
        <f>IFERROR(__xludf.DUMMYFUNCTION("""COMPUTED_VALUE"""),"No salary data")</f>
        <v>No salary data</v>
      </c>
      <c r="I809" s="7" t="str">
        <f>IFERROR(__xludf.DUMMYFUNCTION("""COMPUTED_VALUE"""),"No salary data")</f>
        <v>No salary data</v>
      </c>
      <c r="J809" s="7" t="str">
        <f>IFERROR(__xludf.DUMMYFUNCTION("""COMPUTED_VALUE"""),"Python, Git")</f>
        <v>Python, Git</v>
      </c>
      <c r="K809" s="7" t="str">
        <f>IFERROR(__xludf.DUMMYFUNCTION("""COMPUTED_VALUE"""),"No job type data")</f>
        <v>No job type data</v>
      </c>
      <c r="L809" s="7" t="str">
        <f>IFERROR(__xludf.DUMMYFUNCTION("""COMPUTED_VALUE"""),"None")</f>
        <v>None</v>
      </c>
      <c r="M809" s="7"/>
      <c r="N809" s="7"/>
      <c r="O809" s="7"/>
    </row>
    <row r="810">
      <c r="A810" s="29">
        <f>IFERROR(__xludf.DUMMYFUNCTION("""COMPUTED_VALUE"""),806.0)</f>
        <v>806</v>
      </c>
      <c r="B810" s="7" t="str">
        <f>IFERROR(__xludf.DUMMYFUNCTION("""COMPUTED_VALUE"""),"Vor mehr als 30 Tagen")</f>
        <v>Vor mehr als 30 Tagen</v>
      </c>
      <c r="C810" s="7" t="str">
        <f>IFERROR(__xludf.DUMMYFUNCTION("""COMPUTED_VALUE"""),"(Junior) BI Consultant Datenvisualisierung (Power BI/ Tablea...")</f>
        <v>(Junior) BI Consultant Datenvisualisierung (Power BI/ Tablea...</v>
      </c>
      <c r="D810" s="7" t="str">
        <f>IFERROR(__xludf.DUMMYFUNCTION("""COMPUTED_VALUE"""),"Stuttgart")</f>
        <v>Stuttgart</v>
      </c>
      <c r="E810" s="7" t="str">
        <f>IFERROR(__xludf.DUMMYFUNCTION("""COMPUTED_VALUE"""),"KI Professionals")</f>
        <v>KI Professionals</v>
      </c>
      <c r="F810" s="7" t="str">
        <f>IFERROR(__xludf.DUMMYFUNCTION("""COMPUTED_VALUE"""),"None")</f>
        <v>None</v>
      </c>
      <c r="G810" s="7" t="str">
        <f>IFERROR(__xludf.DUMMYFUNCTION("""COMPUTED_VALUE"""),"No salary data")</f>
        <v>No salary data</v>
      </c>
      <c r="H810" s="7" t="str">
        <f>IFERROR(__xludf.DUMMYFUNCTION("""COMPUTED_VALUE"""),"No salary data")</f>
        <v>No salary data</v>
      </c>
      <c r="I810" s="7" t="str">
        <f>IFERROR(__xludf.DUMMYFUNCTION("""COMPUTED_VALUE"""),"No salary data")</f>
        <v>No salary data</v>
      </c>
      <c r="J810" s="7" t="str">
        <f>IFERROR(__xludf.DUMMYFUNCTION("""COMPUTED_VALUE"""),"SQL, Tableau")</f>
        <v>SQL, Tableau</v>
      </c>
      <c r="K810" s="7" t="str">
        <f>IFERROR(__xludf.DUMMYFUNCTION("""COMPUTED_VALUE"""),"No job type data")</f>
        <v>No job type data</v>
      </c>
      <c r="L810" s="7" t="str">
        <f>IFERROR(__xludf.DUMMYFUNCTION("""COMPUTED_VALUE"""),"None")</f>
        <v>None</v>
      </c>
      <c r="M810" s="7"/>
      <c r="N810" s="7"/>
      <c r="O810" s="7"/>
    </row>
    <row r="811">
      <c r="A811" s="29">
        <f>IFERROR(__xludf.DUMMYFUNCTION("""COMPUTED_VALUE"""),807.0)</f>
        <v>807</v>
      </c>
      <c r="B811" s="7" t="str">
        <f>IFERROR(__xludf.DUMMYFUNCTION("""COMPUTED_VALUE"""),"vor 7 Tagen")</f>
        <v>vor 7 Tagen</v>
      </c>
      <c r="C811" s="7" t="str">
        <f>IFERROR(__xludf.DUMMYFUNCTION("""COMPUTED_VALUE"""),"Data Scientist / Data Analyst – Controlling national (m/w/d)")</f>
        <v>Data Scientist / Data Analyst – Controlling national (m/w/d)</v>
      </c>
      <c r="D811" s="7" t="str">
        <f>IFERROR(__xludf.DUMMYFUNCTION("""COMPUTED_VALUE"""),"Neckarsulm")</f>
        <v>Neckarsulm</v>
      </c>
      <c r="E811" s="7" t="str">
        <f>IFERROR(__xludf.DUMMYFUNCTION("""COMPUTED_VALUE"""),"Lidl Dienstleistung GmbH &amp; Co. KG")</f>
        <v>Lidl Dienstleistung GmbH &amp; Co. KG</v>
      </c>
      <c r="F811" s="7" t="str">
        <f>IFERROR(__xludf.DUMMYFUNCTION("""COMPUTED_VALUE"""),"None")</f>
        <v>None</v>
      </c>
      <c r="G811" s="7" t="str">
        <f>IFERROR(__xludf.DUMMYFUNCTION("""COMPUTED_VALUE"""),"No salary data")</f>
        <v>No salary data</v>
      </c>
      <c r="H811" s="7" t="str">
        <f>IFERROR(__xludf.DUMMYFUNCTION("""COMPUTED_VALUE"""),"No salary data")</f>
        <v>No salary data</v>
      </c>
      <c r="I811" s="7" t="str">
        <f>IFERROR(__xludf.DUMMYFUNCTION("""COMPUTED_VALUE"""),"No salary data")</f>
        <v>No salary data</v>
      </c>
      <c r="J811" s="7" t="str">
        <f>IFERROR(__xludf.DUMMYFUNCTION("""COMPUTED_VALUE"""),"Python, SQL")</f>
        <v>Python, SQL</v>
      </c>
      <c r="K811" s="7" t="str">
        <f>IFERROR(__xludf.DUMMYFUNCTION("""COMPUTED_VALUE"""),"No job type data")</f>
        <v>No job type data</v>
      </c>
      <c r="L811" s="7" t="str">
        <f>IFERROR(__xludf.DUMMYFUNCTION("""COMPUTED_VALUE"""),"3,3")</f>
        <v>3,3</v>
      </c>
      <c r="M811" s="7"/>
      <c r="N811" s="7"/>
      <c r="O811" s="7"/>
    </row>
    <row r="812">
      <c r="A812" s="29">
        <f>IFERROR(__xludf.DUMMYFUNCTION("""COMPUTED_VALUE"""),808.0)</f>
        <v>808</v>
      </c>
      <c r="B812" s="7" t="str">
        <f>IFERROR(__xludf.DUMMYFUNCTION("""COMPUTED_VALUE"""),"vor 14 Tagen")</f>
        <v>vor 14 Tagen</v>
      </c>
      <c r="C812" s="7" t="str">
        <f>IFERROR(__xludf.DUMMYFUNCTION("""COMPUTED_VALUE"""),"Praktikant (m/w/d) Data Mining / Big Data / Datenanalyse im...")</f>
        <v>Praktikant (m/w/d) Data Mining / Big Data / Datenanalyse im...</v>
      </c>
      <c r="D812" s="7" t="str">
        <f>IFERROR(__xludf.DUMMYFUNCTION("""COMPUTED_VALUE"""),"Marktoberdorf")</f>
        <v>Marktoberdorf</v>
      </c>
      <c r="E812" s="7" t="str">
        <f>IFERROR(__xludf.DUMMYFUNCTION("""COMPUTED_VALUE"""),"AGCO")</f>
        <v>AGCO</v>
      </c>
      <c r="F812" s="7" t="str">
        <f>IFERROR(__xludf.DUMMYFUNCTION("""COMPUTED_VALUE"""),"None")</f>
        <v>None</v>
      </c>
      <c r="G812" s="7" t="str">
        <f>IFERROR(__xludf.DUMMYFUNCTION("""COMPUTED_VALUE"""),"No salary data")</f>
        <v>No salary data</v>
      </c>
      <c r="H812" s="7" t="str">
        <f>IFERROR(__xludf.DUMMYFUNCTION("""COMPUTED_VALUE"""),"No salary data")</f>
        <v>No salary data</v>
      </c>
      <c r="I812" s="7" t="str">
        <f>IFERROR(__xludf.DUMMYFUNCTION("""COMPUTED_VALUE"""),"No salary data")</f>
        <v>No salary data</v>
      </c>
      <c r="J812" s="7" t="str">
        <f>IFERROR(__xludf.DUMMYFUNCTION("""COMPUTED_VALUE"""),"Python")</f>
        <v>Python</v>
      </c>
      <c r="K812" s="7" t="str">
        <f>IFERROR(__xludf.DUMMYFUNCTION("""COMPUTED_VALUE"""),"No job type data")</f>
        <v>No job type data</v>
      </c>
      <c r="L812" s="7" t="str">
        <f>IFERROR(__xludf.DUMMYFUNCTION("""COMPUTED_VALUE"""),"3,8")</f>
        <v>3,8</v>
      </c>
      <c r="M812" s="7"/>
      <c r="N812" s="7"/>
      <c r="O812" s="7"/>
    </row>
    <row r="813">
      <c r="A813" s="29">
        <f>IFERROR(__xludf.DUMMYFUNCTION("""COMPUTED_VALUE"""),809.0)</f>
        <v>809</v>
      </c>
      <c r="B813" s="7" t="str">
        <f>IFERROR(__xludf.DUMMYFUNCTION("""COMPUTED_VALUE"""),"vor 5 Tagen")</f>
        <v>vor 5 Tagen</v>
      </c>
      <c r="C813" s="7" t="str">
        <f>IFERROR(__xludf.DUMMYFUNCTION("""COMPUTED_VALUE"""),"Data Scientist (m/w/d)")</f>
        <v>Data Scientist (m/w/d)</v>
      </c>
      <c r="D813" s="7" t="str">
        <f>IFERROR(__xludf.DUMMYFUNCTION("""COMPUTED_VALUE"""),"Nürnberg")</f>
        <v>Nürnberg</v>
      </c>
      <c r="E813" s="7" t="str">
        <f>IFERROR(__xludf.DUMMYFUNCTION("""COMPUTED_VALUE"""),"skipsearch GmbH")</f>
        <v>skipsearch GmbH</v>
      </c>
      <c r="F813" s="7" t="str">
        <f>IFERROR(__xludf.DUMMYFUNCTION("""COMPUTED_VALUE"""),"70,000 € pro Jahr")</f>
        <v>70,000 € pro Jahr</v>
      </c>
      <c r="G813" s="7">
        <f>IFERROR(__xludf.DUMMYFUNCTION("""COMPUTED_VALUE"""),70000.0)</f>
        <v>70000</v>
      </c>
      <c r="H813" s="7" t="str">
        <f>IFERROR(__xludf.DUMMYFUNCTION("""COMPUTED_VALUE"""),"Jahr")</f>
        <v>Jahr</v>
      </c>
      <c r="I813" s="7">
        <f>IFERROR(__xludf.DUMMYFUNCTION("""COMPUTED_VALUE"""),70000.0)</f>
        <v>70000</v>
      </c>
      <c r="J813" s="7" t="str">
        <f>IFERROR(__xludf.DUMMYFUNCTION("""COMPUTED_VALUE"""),"Python, SQL, Machine Learning")</f>
        <v>Python, SQL, Machine Learning</v>
      </c>
      <c r="K813" s="7" t="str">
        <f>IFERROR(__xludf.DUMMYFUNCTION("""COMPUTED_VALUE"""),"No job type data")</f>
        <v>No job type data</v>
      </c>
      <c r="L813" s="7" t="str">
        <f>IFERROR(__xludf.DUMMYFUNCTION("""COMPUTED_VALUE"""),"None")</f>
        <v>None</v>
      </c>
      <c r="M813" s="7"/>
      <c r="N813" s="7"/>
      <c r="O813" s="7"/>
    </row>
    <row r="814">
      <c r="A814" s="29">
        <f>IFERROR(__xludf.DUMMYFUNCTION("""COMPUTED_VALUE"""),810.0)</f>
        <v>810</v>
      </c>
      <c r="B814" s="7" t="str">
        <f>IFERROR(__xludf.DUMMYFUNCTION("""COMPUTED_VALUE"""),"Vor mehr als 30 Tagen")</f>
        <v>Vor mehr als 30 Tagen</v>
      </c>
      <c r="C814" s="7" t="str">
        <f>IFERROR(__xludf.DUMMYFUNCTION("""COMPUTED_VALUE"""),"Data Engineer (m/w/d)")</f>
        <v>Data Engineer (m/w/d)</v>
      </c>
      <c r="D814" s="7" t="str">
        <f>IFERROR(__xludf.DUMMYFUNCTION("""COMPUTED_VALUE"""),"Stuttgart")</f>
        <v>Stuttgart</v>
      </c>
      <c r="E814" s="7" t="str">
        <f>IFERROR(__xludf.DUMMYFUNCTION("""COMPUTED_VALUE"""),"AKKA TECHNOLOGIES")</f>
        <v>AKKA TECHNOLOGIES</v>
      </c>
      <c r="F814" s="7" t="str">
        <f>IFERROR(__xludf.DUMMYFUNCTION("""COMPUTED_VALUE"""),"None")</f>
        <v>None</v>
      </c>
      <c r="G814" s="7" t="str">
        <f>IFERROR(__xludf.DUMMYFUNCTION("""COMPUTED_VALUE"""),"No salary data")</f>
        <v>No salary data</v>
      </c>
      <c r="H814" s="7" t="str">
        <f>IFERROR(__xludf.DUMMYFUNCTION("""COMPUTED_VALUE"""),"No salary data")</f>
        <v>No salary data</v>
      </c>
      <c r="I814" s="7" t="str">
        <f>IFERROR(__xludf.DUMMYFUNCTION("""COMPUTED_VALUE"""),"No salary data")</f>
        <v>No salary data</v>
      </c>
      <c r="J814" s="7" t="str">
        <f>IFERROR(__xludf.DUMMYFUNCTION("""COMPUTED_VALUE"""),"Python, SQL")</f>
        <v>Python, SQL</v>
      </c>
      <c r="K814" s="7" t="str">
        <f>IFERROR(__xludf.DUMMYFUNCTION("""COMPUTED_VALUE"""),"No job type data")</f>
        <v>No job type data</v>
      </c>
      <c r="L814" s="7" t="str">
        <f>IFERROR(__xludf.DUMMYFUNCTION("""COMPUTED_VALUE"""),"3,1")</f>
        <v>3,1</v>
      </c>
      <c r="M814" s="7"/>
      <c r="N814" s="7"/>
      <c r="O814" s="7"/>
    </row>
    <row r="815">
      <c r="A815" s="29">
        <f>IFERROR(__xludf.DUMMYFUNCTION("""COMPUTED_VALUE"""),811.0)</f>
        <v>811</v>
      </c>
      <c r="B815" s="7" t="str">
        <f>IFERROR(__xludf.DUMMYFUNCTION("""COMPUTED_VALUE"""),"vor 19 Tagen")</f>
        <v>vor 19 Tagen</v>
      </c>
      <c r="C815" s="7" t="str">
        <f>IFERROR(__xludf.DUMMYFUNCTION("""COMPUTED_VALUE"""),"Process Expert Data Integrity (m/w/d)")</f>
        <v>Process Expert Data Integrity (m/w/d)</v>
      </c>
      <c r="D815" s="7" t="str">
        <f>IFERROR(__xludf.DUMMYFUNCTION("""COMPUTED_VALUE"""),"Biberach an der Riß")</f>
        <v>Biberach an der Riß</v>
      </c>
      <c r="E815" s="7" t="str">
        <f>IFERROR(__xludf.DUMMYFUNCTION("""COMPUTED_VALUE"""),"Modis GmbH")</f>
        <v>Modis GmbH</v>
      </c>
      <c r="F815" s="7" t="str">
        <f>IFERROR(__xludf.DUMMYFUNCTION("""COMPUTED_VALUE"""),"None")</f>
        <v>None</v>
      </c>
      <c r="G815" s="7" t="str">
        <f>IFERROR(__xludf.DUMMYFUNCTION("""COMPUTED_VALUE"""),"No salary data")</f>
        <v>No salary data</v>
      </c>
      <c r="H815" s="7" t="str">
        <f>IFERROR(__xludf.DUMMYFUNCTION("""COMPUTED_VALUE"""),"No salary data")</f>
        <v>No salary data</v>
      </c>
      <c r="I815" s="7" t="str">
        <f>IFERROR(__xludf.DUMMYFUNCTION("""COMPUTED_VALUE"""),"No salary data")</f>
        <v>No salary data</v>
      </c>
      <c r="J815" s="7"/>
      <c r="K815" s="7" t="str">
        <f>IFERROR(__xludf.DUMMYFUNCTION("""COMPUTED_VALUE"""),"No job type data")</f>
        <v>No job type data</v>
      </c>
      <c r="L815" s="7" t="str">
        <f>IFERROR(__xludf.DUMMYFUNCTION("""COMPUTED_VALUE"""),"3,8")</f>
        <v>3,8</v>
      </c>
      <c r="M815" s="7"/>
      <c r="N815" s="7"/>
      <c r="O815" s="7"/>
    </row>
    <row r="816">
      <c r="A816" s="29">
        <f>IFERROR(__xludf.DUMMYFUNCTION("""COMPUTED_VALUE"""),812.0)</f>
        <v>812</v>
      </c>
      <c r="B816" s="7" t="str">
        <f>IFERROR(__xludf.DUMMYFUNCTION("""COMPUTED_VALUE"""),"Vor mehr als 30 Tagen")</f>
        <v>Vor mehr als 30 Tagen</v>
      </c>
      <c r="C816" s="7" t="str">
        <f>IFERROR(__xludf.DUMMYFUNCTION("""COMPUTED_VALUE"""),"Business Analyst Data (m/w/d)")</f>
        <v>Business Analyst Data (m/w/d)</v>
      </c>
      <c r="D816" s="7" t="str">
        <f>IFERROR(__xludf.DUMMYFUNCTION("""COMPUTED_VALUE"""),"Bad Homburg vor der Höhe")</f>
        <v>Bad Homburg vor der Höhe</v>
      </c>
      <c r="E816" s="7" t="str">
        <f>IFERROR(__xludf.DUMMYFUNCTION("""COMPUTED_VALUE"""),"Baloise Group")</f>
        <v>Baloise Group</v>
      </c>
      <c r="F816" s="7" t="str">
        <f>IFERROR(__xludf.DUMMYFUNCTION("""COMPUTED_VALUE"""),"None")</f>
        <v>None</v>
      </c>
      <c r="G816" s="7" t="str">
        <f>IFERROR(__xludf.DUMMYFUNCTION("""COMPUTED_VALUE"""),"No salary data")</f>
        <v>No salary data</v>
      </c>
      <c r="H816" s="7" t="str">
        <f>IFERROR(__xludf.DUMMYFUNCTION("""COMPUTED_VALUE"""),"No salary data")</f>
        <v>No salary data</v>
      </c>
      <c r="I816" s="7" t="str">
        <f>IFERROR(__xludf.DUMMYFUNCTION("""COMPUTED_VALUE"""),"No salary data")</f>
        <v>No salary data</v>
      </c>
      <c r="J816" s="7" t="str">
        <f>IFERROR(__xludf.DUMMYFUNCTION("""COMPUTED_VALUE"""),"SQL, Excel")</f>
        <v>SQL, Excel</v>
      </c>
      <c r="K816" s="7" t="str">
        <f>IFERROR(__xludf.DUMMYFUNCTION("""COMPUTED_VALUE"""),"No job type data")</f>
        <v>No job type data</v>
      </c>
      <c r="L816" s="7" t="str">
        <f>IFERROR(__xludf.DUMMYFUNCTION("""COMPUTED_VALUE"""),"None")</f>
        <v>None</v>
      </c>
      <c r="M816" s="7"/>
      <c r="N816" s="7"/>
      <c r="O816" s="7"/>
    </row>
    <row r="817">
      <c r="A817" s="29">
        <f>IFERROR(__xludf.DUMMYFUNCTION("""COMPUTED_VALUE"""),813.0)</f>
        <v>813</v>
      </c>
      <c r="B817" s="7" t="str">
        <f>IFERROR(__xludf.DUMMYFUNCTION("""COMPUTED_VALUE"""),"Vor mehr als 30 Tagen")</f>
        <v>Vor mehr als 30 Tagen</v>
      </c>
      <c r="C817" s="7" t="str">
        <f>IFERROR(__xludf.DUMMYFUNCTION("""COMPUTED_VALUE"""),"Junior Computer Vision Engineer")</f>
        <v>Junior Computer Vision Engineer</v>
      </c>
      <c r="D817" s="7" t="str">
        <f>IFERROR(__xludf.DUMMYFUNCTION("""COMPUTED_VALUE"""),"Berlin")</f>
        <v>Berlin</v>
      </c>
      <c r="E817" s="7" t="str">
        <f>IFERROR(__xludf.DUMMYFUNCTION("""COMPUTED_VALUE"""),"Alldus")</f>
        <v>Alldus</v>
      </c>
      <c r="F817" s="7" t="str">
        <f>IFERROR(__xludf.DUMMYFUNCTION("""COMPUTED_VALUE"""),"45,000 € - 55,000 € pro Jahr")</f>
        <v>45,000 € - 55,000 € pro Jahr</v>
      </c>
      <c r="G817" s="7">
        <f>IFERROR(__xludf.DUMMYFUNCTION("""COMPUTED_VALUE"""),50000.0)</f>
        <v>50000</v>
      </c>
      <c r="H817" s="7" t="str">
        <f>IFERROR(__xludf.DUMMYFUNCTION("""COMPUTED_VALUE"""),"Jahr")</f>
        <v>Jahr</v>
      </c>
      <c r="I817" s="7">
        <f>IFERROR(__xludf.DUMMYFUNCTION("""COMPUTED_VALUE"""),50000.0)</f>
        <v>50000</v>
      </c>
      <c r="J817" s="7" t="str">
        <f>IFERROR(__xludf.DUMMYFUNCTION("""COMPUTED_VALUE"""),"Machine Learning")</f>
        <v>Machine Learning</v>
      </c>
      <c r="K817" s="7" t="str">
        <f>IFERROR(__xludf.DUMMYFUNCTION("""COMPUTED_VALUE"""),"No job type data")</f>
        <v>No job type data</v>
      </c>
      <c r="L817" s="7" t="str">
        <f>IFERROR(__xludf.DUMMYFUNCTION("""COMPUTED_VALUE"""),"None")</f>
        <v>None</v>
      </c>
      <c r="M817" s="7"/>
      <c r="N817" s="7"/>
      <c r="O817" s="7"/>
    </row>
    <row r="818">
      <c r="A818" s="29">
        <f>IFERROR(__xludf.DUMMYFUNCTION("""COMPUTED_VALUE"""),814.0)</f>
        <v>814</v>
      </c>
      <c r="B818" s="7" t="str">
        <f>IFERROR(__xludf.DUMMYFUNCTION("""COMPUTED_VALUE"""),"vor 21 Tagen")</f>
        <v>vor 21 Tagen</v>
      </c>
      <c r="C818" s="7" t="str">
        <f>IFERROR(__xludf.DUMMYFUNCTION("""COMPUTED_VALUE"""),"Student (m/w/d) - Wirtschaftsinformatik Data Science")</f>
        <v>Student (m/w/d) - Wirtschaftsinformatik Data Science</v>
      </c>
      <c r="D818" s="7" t="str">
        <f>IFERROR(__xludf.DUMMYFUNCTION("""COMPUTED_VALUE"""),"Eisenberg")</f>
        <v>Eisenberg</v>
      </c>
      <c r="E818" s="7" t="str">
        <f>IFERROR(__xludf.DUMMYFUNCTION("""COMPUTED_VALUE"""),"AOK Rheinland-Pfalz/Saarland")</f>
        <v>AOK Rheinland-Pfalz/Saarland</v>
      </c>
      <c r="F818" s="7" t="str">
        <f>IFERROR(__xludf.DUMMYFUNCTION("""COMPUTED_VALUE"""),"None")</f>
        <v>None</v>
      </c>
      <c r="G818" s="7" t="str">
        <f>IFERROR(__xludf.DUMMYFUNCTION("""COMPUTED_VALUE"""),"No salary data")</f>
        <v>No salary data</v>
      </c>
      <c r="H818" s="7" t="str">
        <f>IFERROR(__xludf.DUMMYFUNCTION("""COMPUTED_VALUE"""),"No salary data")</f>
        <v>No salary data</v>
      </c>
      <c r="I818" s="7" t="str">
        <f>IFERROR(__xludf.DUMMYFUNCTION("""COMPUTED_VALUE"""),"No salary data")</f>
        <v>No salary data</v>
      </c>
      <c r="J818" s="7"/>
      <c r="K818" s="7" t="str">
        <f>IFERROR(__xludf.DUMMYFUNCTION("""COMPUTED_VALUE"""),"No job type data")</f>
        <v>No job type data</v>
      </c>
      <c r="L818" s="7" t="str">
        <f>IFERROR(__xludf.DUMMYFUNCTION("""COMPUTED_VALUE"""),"None")</f>
        <v>None</v>
      </c>
      <c r="M818" s="7"/>
      <c r="N818" s="7"/>
      <c r="O818" s="7"/>
    </row>
    <row r="819">
      <c r="A819" s="29">
        <f>IFERROR(__xludf.DUMMYFUNCTION("""COMPUTED_VALUE"""),815.0)</f>
        <v>815</v>
      </c>
      <c r="B819" s="7" t="str">
        <f>IFERROR(__xludf.DUMMYFUNCTION("""COMPUTED_VALUE"""),"vor 4 Tagen")</f>
        <v>vor 4 Tagen</v>
      </c>
      <c r="C819" s="7" t="str">
        <f>IFERROR(__xludf.DUMMYFUNCTION("""COMPUTED_VALUE"""),"Strategic Marketing Analyst (m/f/x)")</f>
        <v>Strategic Marketing Analyst (m/f/x)</v>
      </c>
      <c r="D819" s="7" t="str">
        <f>IFERROR(__xludf.DUMMYFUNCTION("""COMPUTED_VALUE"""),"Bonn")</f>
        <v>Bonn</v>
      </c>
      <c r="E819" s="7" t="str">
        <f>IFERROR(__xludf.DUMMYFUNCTION("""COMPUTED_VALUE"""),"DHL Supply Chain")</f>
        <v>DHL Supply Chain</v>
      </c>
      <c r="F819" s="7" t="str">
        <f>IFERROR(__xludf.DUMMYFUNCTION("""COMPUTED_VALUE"""),"None")</f>
        <v>None</v>
      </c>
      <c r="G819" s="7" t="str">
        <f>IFERROR(__xludf.DUMMYFUNCTION("""COMPUTED_VALUE"""),"No salary data")</f>
        <v>No salary data</v>
      </c>
      <c r="H819" s="7" t="str">
        <f>IFERROR(__xludf.DUMMYFUNCTION("""COMPUTED_VALUE"""),"No salary data")</f>
        <v>No salary data</v>
      </c>
      <c r="I819" s="7" t="str">
        <f>IFERROR(__xludf.DUMMYFUNCTION("""COMPUTED_VALUE"""),"No salary data")</f>
        <v>No salary data</v>
      </c>
      <c r="J819" s="7" t="str">
        <f>IFERROR(__xludf.DUMMYFUNCTION("""COMPUTED_VALUE"""),"Python, Tableau, Excel, Statistic")</f>
        <v>Python, Tableau, Excel, Statistic</v>
      </c>
      <c r="K819" s="7" t="str">
        <f>IFERROR(__xludf.DUMMYFUNCTION("""COMPUTED_VALUE"""),"No job type data")</f>
        <v>No job type data</v>
      </c>
      <c r="L819" s="7" t="str">
        <f>IFERROR(__xludf.DUMMYFUNCTION("""COMPUTED_VALUE"""),"3,7")</f>
        <v>3,7</v>
      </c>
      <c r="M819" s="7"/>
      <c r="N819" s="7"/>
      <c r="O819" s="7"/>
    </row>
    <row r="820">
      <c r="A820" s="29">
        <f>IFERROR(__xludf.DUMMYFUNCTION("""COMPUTED_VALUE"""),816.0)</f>
        <v>816</v>
      </c>
      <c r="B820" s="7" t="str">
        <f>IFERROR(__xludf.DUMMYFUNCTION("""COMPUTED_VALUE"""),"Vor mehr als 30 Tagen")</f>
        <v>Vor mehr als 30 Tagen</v>
      </c>
      <c r="C820" s="7" t="str">
        <f>IFERROR(__xludf.DUMMYFUNCTION("""COMPUTED_VALUE"""),"Data Developer Reporting (m/w/d)")</f>
        <v>Data Developer Reporting (m/w/d)</v>
      </c>
      <c r="D820" s="7" t="str">
        <f>IFERROR(__xludf.DUMMYFUNCTION("""COMPUTED_VALUE"""),"Hamburg")</f>
        <v>Hamburg</v>
      </c>
      <c r="E820" s="7" t="str">
        <f>IFERROR(__xludf.DUMMYFUNCTION("""COMPUTED_VALUE"""),"bonprix")</f>
        <v>bonprix</v>
      </c>
      <c r="F820" s="7" t="str">
        <f>IFERROR(__xludf.DUMMYFUNCTION("""COMPUTED_VALUE"""),"None")</f>
        <v>None</v>
      </c>
      <c r="G820" s="7" t="str">
        <f>IFERROR(__xludf.DUMMYFUNCTION("""COMPUTED_VALUE"""),"No salary data")</f>
        <v>No salary data</v>
      </c>
      <c r="H820" s="7" t="str">
        <f>IFERROR(__xludf.DUMMYFUNCTION("""COMPUTED_VALUE"""),"No salary data")</f>
        <v>No salary data</v>
      </c>
      <c r="I820" s="7" t="str">
        <f>IFERROR(__xludf.DUMMYFUNCTION("""COMPUTED_VALUE"""),"No salary data")</f>
        <v>No salary data</v>
      </c>
      <c r="J820" s="7" t="str">
        <f>IFERROR(__xludf.DUMMYFUNCTION("""COMPUTED_VALUE"""),"SQL, Tableau, Agile")</f>
        <v>SQL, Tableau, Agile</v>
      </c>
      <c r="K820" s="7" t="str">
        <f>IFERROR(__xludf.DUMMYFUNCTION("""COMPUTED_VALUE"""),"No job type data")</f>
        <v>No job type data</v>
      </c>
      <c r="L820" s="7" t="str">
        <f>IFERROR(__xludf.DUMMYFUNCTION("""COMPUTED_VALUE"""),"None")</f>
        <v>None</v>
      </c>
      <c r="M820" s="7"/>
      <c r="N820" s="7"/>
      <c r="O820" s="7"/>
    </row>
    <row r="821">
      <c r="A821" s="29">
        <f>IFERROR(__xludf.DUMMYFUNCTION("""COMPUTED_VALUE"""),817.0)</f>
        <v>817</v>
      </c>
      <c r="B821" s="7" t="str">
        <f>IFERROR(__xludf.DUMMYFUNCTION("""COMPUTED_VALUE"""),"vor 11 Tagen")</f>
        <v>vor 11 Tagen</v>
      </c>
      <c r="C821" s="7" t="str">
        <f>IFERROR(__xludf.DUMMYFUNCTION("""COMPUTED_VALUE"""),"Business Intelligence Specialist (m/w/d)")</f>
        <v>Business Intelligence Specialist (m/w/d)</v>
      </c>
      <c r="D821" s="7" t="str">
        <f>IFERROR(__xludf.DUMMYFUNCTION("""COMPUTED_VALUE"""),"Düsseldorf")</f>
        <v>Düsseldorf</v>
      </c>
      <c r="E821" s="7" t="str">
        <f>IFERROR(__xludf.DUMMYFUNCTION("""COMPUTED_VALUE"""),"reuter onlineshop GmbH")</f>
        <v>reuter onlineshop GmbH</v>
      </c>
      <c r="F821" s="7" t="str">
        <f>IFERROR(__xludf.DUMMYFUNCTION("""COMPUTED_VALUE"""),"None")</f>
        <v>None</v>
      </c>
      <c r="G821" s="7" t="str">
        <f>IFERROR(__xludf.DUMMYFUNCTION("""COMPUTED_VALUE"""),"No salary data")</f>
        <v>No salary data</v>
      </c>
      <c r="H821" s="7" t="str">
        <f>IFERROR(__xludf.DUMMYFUNCTION("""COMPUTED_VALUE"""),"No salary data")</f>
        <v>No salary data</v>
      </c>
      <c r="I821" s="7" t="str">
        <f>IFERROR(__xludf.DUMMYFUNCTION("""COMPUTED_VALUE"""),"No salary data")</f>
        <v>No salary data</v>
      </c>
      <c r="J821" s="7" t="str">
        <f>IFERROR(__xludf.DUMMYFUNCTION("""COMPUTED_VALUE"""),"SQL, Tableau, Git, Agile")</f>
        <v>SQL, Tableau, Git, Agile</v>
      </c>
      <c r="K821" s="7" t="str">
        <f>IFERROR(__xludf.DUMMYFUNCTION("""COMPUTED_VALUE"""),"No job type data")</f>
        <v>No job type data</v>
      </c>
      <c r="L821" s="7" t="str">
        <f>IFERROR(__xludf.DUMMYFUNCTION("""COMPUTED_VALUE"""),"None")</f>
        <v>None</v>
      </c>
      <c r="M821" s="7"/>
      <c r="N821" s="7"/>
      <c r="O821" s="7"/>
    </row>
    <row r="822">
      <c r="A822" s="29">
        <f>IFERROR(__xludf.DUMMYFUNCTION("""COMPUTED_VALUE"""),818.0)</f>
        <v>818</v>
      </c>
      <c r="B822" s="7" t="str">
        <f>IFERROR(__xludf.DUMMYFUNCTION("""COMPUTED_VALUE"""),"Vor mehr als 30 Tagen")</f>
        <v>Vor mehr als 30 Tagen</v>
      </c>
      <c r="C822" s="7" t="str">
        <f>IFERROR(__xludf.DUMMYFUNCTION("""COMPUTED_VALUE"""),"Data Scientist / Machine Learning Expert")</f>
        <v>Data Scientist / Machine Learning Expert</v>
      </c>
      <c r="D822" s="7" t="str">
        <f>IFERROR(__xludf.DUMMYFUNCTION("""COMPUTED_VALUE"""),"München")</f>
        <v>München</v>
      </c>
      <c r="E822" s="7" t="str">
        <f>IFERROR(__xludf.DUMMYFUNCTION("""COMPUTED_VALUE"""),"Testifi GmbH")</f>
        <v>Testifi GmbH</v>
      </c>
      <c r="F822" s="7" t="str">
        <f>IFERROR(__xludf.DUMMYFUNCTION("""COMPUTED_VALUE"""),"None")</f>
        <v>None</v>
      </c>
      <c r="G822" s="7" t="str">
        <f>IFERROR(__xludf.DUMMYFUNCTION("""COMPUTED_VALUE"""),"No salary data")</f>
        <v>No salary data</v>
      </c>
      <c r="H822" s="7" t="str">
        <f>IFERROR(__xludf.DUMMYFUNCTION("""COMPUTED_VALUE"""),"No salary data")</f>
        <v>No salary data</v>
      </c>
      <c r="I822" s="7" t="str">
        <f>IFERROR(__xludf.DUMMYFUNCTION("""COMPUTED_VALUE"""),"No salary data")</f>
        <v>No salary data</v>
      </c>
      <c r="J822" s="7" t="str">
        <f>IFERROR(__xludf.DUMMYFUNCTION("""COMPUTED_VALUE"""),"Python, Excel, Machine Learning, Git")</f>
        <v>Python, Excel, Machine Learning, Git</v>
      </c>
      <c r="K822" s="7" t="str">
        <f>IFERROR(__xludf.DUMMYFUNCTION("""COMPUTED_VALUE"""),"No job type data")</f>
        <v>No job type data</v>
      </c>
      <c r="L822" s="7" t="str">
        <f>IFERROR(__xludf.DUMMYFUNCTION("""COMPUTED_VALUE"""),"None")</f>
        <v>None</v>
      </c>
      <c r="M822" s="7"/>
      <c r="N822" s="7"/>
      <c r="O822" s="7"/>
    </row>
    <row r="823">
      <c r="A823" s="29">
        <f>IFERROR(__xludf.DUMMYFUNCTION("""COMPUTED_VALUE"""),819.0)</f>
        <v>819</v>
      </c>
      <c r="B823" s="7" t="str">
        <f>IFERROR(__xludf.DUMMYFUNCTION("""COMPUTED_VALUE"""),"Vor mehr als 30 Tagen")</f>
        <v>Vor mehr als 30 Tagen</v>
      </c>
      <c r="C823" s="7" t="str">
        <f>IFERROR(__xludf.DUMMYFUNCTION("""COMPUTED_VALUE"""),"SQL Datenbankentwickler (m/w/d) in Eschborn")</f>
        <v>SQL Datenbankentwickler (m/w/d) in Eschborn</v>
      </c>
      <c r="D823" s="7" t="str">
        <f>IFERROR(__xludf.DUMMYFUNCTION("""COMPUTED_VALUE"""),"Hessen")</f>
        <v>Hessen</v>
      </c>
      <c r="E823" s="7" t="str">
        <f>IFERROR(__xludf.DUMMYFUNCTION("""COMPUTED_VALUE"""),"ARI Fleet Germany GmbH")</f>
        <v>ARI Fleet Germany GmbH</v>
      </c>
      <c r="F823" s="7" t="str">
        <f>IFERROR(__xludf.DUMMYFUNCTION("""COMPUTED_VALUE"""),"None")</f>
        <v>None</v>
      </c>
      <c r="G823" s="7" t="str">
        <f>IFERROR(__xludf.DUMMYFUNCTION("""COMPUTED_VALUE"""),"No salary data")</f>
        <v>No salary data</v>
      </c>
      <c r="H823" s="7" t="str">
        <f>IFERROR(__xludf.DUMMYFUNCTION("""COMPUTED_VALUE"""),"No salary data")</f>
        <v>No salary data</v>
      </c>
      <c r="I823" s="7" t="str">
        <f>IFERROR(__xludf.DUMMYFUNCTION("""COMPUTED_VALUE"""),"No salary data")</f>
        <v>No salary data</v>
      </c>
      <c r="J823" s="7" t="str">
        <f>IFERROR(__xludf.DUMMYFUNCTION("""COMPUTED_VALUE"""),"SQL")</f>
        <v>SQL</v>
      </c>
      <c r="K823" s="7" t="str">
        <f>IFERROR(__xludf.DUMMYFUNCTION("""COMPUTED_VALUE"""),"No job type data")</f>
        <v>No job type data</v>
      </c>
      <c r="L823" s="7" t="str">
        <f>IFERROR(__xludf.DUMMYFUNCTION("""COMPUTED_VALUE"""),"5,0")</f>
        <v>5,0</v>
      </c>
      <c r="M823" s="7"/>
      <c r="N823" s="7"/>
      <c r="O823" s="7"/>
    </row>
    <row r="824">
      <c r="A824" s="29">
        <f>IFERROR(__xludf.DUMMYFUNCTION("""COMPUTED_VALUE"""),820.0)</f>
        <v>820</v>
      </c>
      <c r="B824" s="7" t="str">
        <f>IFERROR(__xludf.DUMMYFUNCTION("""COMPUTED_VALUE"""),"Vor mehr als 30 Tagen")</f>
        <v>Vor mehr als 30 Tagen</v>
      </c>
      <c r="C824" s="7" t="str">
        <f>IFERROR(__xludf.DUMMYFUNCTION("""COMPUTED_VALUE"""),"Data Engineer *")</f>
        <v>Data Engineer *</v>
      </c>
      <c r="D824" s="7" t="str">
        <f>IFERROR(__xludf.DUMMYFUNCTION("""COMPUTED_VALUE"""),"Kassel")</f>
        <v>Kassel</v>
      </c>
      <c r="E824" s="7" t="str">
        <f>IFERROR(__xludf.DUMMYFUNCTION("""COMPUTED_VALUE"""),"SMA Solar Technology AG")</f>
        <v>SMA Solar Technology AG</v>
      </c>
      <c r="F824" s="7" t="str">
        <f>IFERROR(__xludf.DUMMYFUNCTION("""COMPUTED_VALUE"""),"None")</f>
        <v>None</v>
      </c>
      <c r="G824" s="7" t="str">
        <f>IFERROR(__xludf.DUMMYFUNCTION("""COMPUTED_VALUE"""),"No salary data")</f>
        <v>No salary data</v>
      </c>
      <c r="H824" s="7" t="str">
        <f>IFERROR(__xludf.DUMMYFUNCTION("""COMPUTED_VALUE"""),"No salary data")</f>
        <v>No salary data</v>
      </c>
      <c r="I824" s="7" t="str">
        <f>IFERROR(__xludf.DUMMYFUNCTION("""COMPUTED_VALUE"""),"No salary data")</f>
        <v>No salary data</v>
      </c>
      <c r="J824" s="7" t="str">
        <f>IFERROR(__xludf.DUMMYFUNCTION("""COMPUTED_VALUE"""),"SQL, Tableau, Git, Agile")</f>
        <v>SQL, Tableau, Git, Agile</v>
      </c>
      <c r="K824" s="7" t="str">
        <f>IFERROR(__xludf.DUMMYFUNCTION("""COMPUTED_VALUE"""),"No job type data")</f>
        <v>No job type data</v>
      </c>
      <c r="L824" s="7" t="str">
        <f>IFERROR(__xludf.DUMMYFUNCTION("""COMPUTED_VALUE"""),"3,9")</f>
        <v>3,9</v>
      </c>
      <c r="M824" s="7"/>
      <c r="N824" s="7"/>
      <c r="O824" s="7"/>
    </row>
    <row r="825">
      <c r="A825" s="29">
        <f>IFERROR(__xludf.DUMMYFUNCTION("""COMPUTED_VALUE"""),821.0)</f>
        <v>821</v>
      </c>
      <c r="B825" s="7" t="str">
        <f>IFERROR(__xludf.DUMMYFUNCTION("""COMPUTED_VALUE"""),"vor 5 Tagen")</f>
        <v>vor 5 Tagen</v>
      </c>
      <c r="C825" s="7" t="str">
        <f>IFERROR(__xludf.DUMMYFUNCTION("""COMPUTED_VALUE"""),"Business Intelligence Engineer - Data Insights")</f>
        <v>Business Intelligence Engineer - Data Insights</v>
      </c>
      <c r="D825" s="7" t="str">
        <f>IFERROR(__xludf.DUMMYFUNCTION("""COMPUTED_VALUE"""),"Berlin")</f>
        <v>Berlin</v>
      </c>
      <c r="E825" s="7" t="str">
        <f>IFERROR(__xludf.DUMMYFUNCTION("""COMPUTED_VALUE"""),"Zalando SE")</f>
        <v>Zalando SE</v>
      </c>
      <c r="F825" s="7" t="str">
        <f>IFERROR(__xludf.DUMMYFUNCTION("""COMPUTED_VALUE"""),"None")</f>
        <v>None</v>
      </c>
      <c r="G825" s="7" t="str">
        <f>IFERROR(__xludf.DUMMYFUNCTION("""COMPUTED_VALUE"""),"No salary data")</f>
        <v>No salary data</v>
      </c>
      <c r="H825" s="7" t="str">
        <f>IFERROR(__xludf.DUMMYFUNCTION("""COMPUTED_VALUE"""),"No salary data")</f>
        <v>No salary data</v>
      </c>
      <c r="I825" s="7" t="str">
        <f>IFERROR(__xludf.DUMMYFUNCTION("""COMPUTED_VALUE"""),"No salary data")</f>
        <v>No salary data</v>
      </c>
      <c r="J825" s="7" t="str">
        <f>IFERROR(__xludf.DUMMYFUNCTION("""COMPUTED_VALUE"""),"SQL, Excel, Git")</f>
        <v>SQL, Excel, Git</v>
      </c>
      <c r="K825" s="7" t="str">
        <f>IFERROR(__xludf.DUMMYFUNCTION("""COMPUTED_VALUE"""),"Volunteer")</f>
        <v>Volunteer</v>
      </c>
      <c r="L825" s="7" t="str">
        <f>IFERROR(__xludf.DUMMYFUNCTION("""COMPUTED_VALUE"""),"3,1")</f>
        <v>3,1</v>
      </c>
      <c r="M825" s="7"/>
      <c r="N825" s="7"/>
      <c r="O825" s="7"/>
    </row>
    <row r="826">
      <c r="A826" s="29">
        <f>IFERROR(__xludf.DUMMYFUNCTION("""COMPUTED_VALUE"""),822.0)</f>
        <v>822</v>
      </c>
      <c r="B826" s="7" t="str">
        <f>IFERROR(__xludf.DUMMYFUNCTION("""COMPUTED_VALUE"""),"vor 4 Tagen")</f>
        <v>vor 4 Tagen</v>
      </c>
      <c r="C826" s="7" t="str">
        <f>IFERROR(__xludf.DUMMYFUNCTION("""COMPUTED_VALUE"""),"Business Intelligence Specialist (m/w/d)")</f>
        <v>Business Intelligence Specialist (m/w/d)</v>
      </c>
      <c r="D826" s="7" t="str">
        <f>IFERROR(__xludf.DUMMYFUNCTION("""COMPUTED_VALUE"""),"Wolfsburg")</f>
        <v>Wolfsburg</v>
      </c>
      <c r="E826" s="7" t="str">
        <f>IFERROR(__xludf.DUMMYFUNCTION("""COMPUTED_VALUE"""),"Volkswagen Group Services GmbH")</f>
        <v>Volkswagen Group Services GmbH</v>
      </c>
      <c r="F826" s="7" t="str">
        <f>IFERROR(__xludf.DUMMYFUNCTION("""COMPUTED_VALUE"""),"None")</f>
        <v>None</v>
      </c>
      <c r="G826" s="7" t="str">
        <f>IFERROR(__xludf.DUMMYFUNCTION("""COMPUTED_VALUE"""),"No salary data")</f>
        <v>No salary data</v>
      </c>
      <c r="H826" s="7" t="str">
        <f>IFERROR(__xludf.DUMMYFUNCTION("""COMPUTED_VALUE"""),"No salary data")</f>
        <v>No salary data</v>
      </c>
      <c r="I826" s="7" t="str">
        <f>IFERROR(__xludf.DUMMYFUNCTION("""COMPUTED_VALUE"""),"No salary data")</f>
        <v>No salary data</v>
      </c>
      <c r="J826" s="7" t="str">
        <f>IFERROR(__xludf.DUMMYFUNCTION("""COMPUTED_VALUE"""),"SQL, Tableau")</f>
        <v>SQL, Tableau</v>
      </c>
      <c r="K826" s="7" t="str">
        <f>IFERROR(__xludf.DUMMYFUNCTION("""COMPUTED_VALUE"""),"No job type data")</f>
        <v>No job type data</v>
      </c>
      <c r="L826" s="7" t="str">
        <f>IFERROR(__xludf.DUMMYFUNCTION("""COMPUTED_VALUE"""),"3,6")</f>
        <v>3,6</v>
      </c>
      <c r="M826" s="7"/>
      <c r="N826" s="7"/>
      <c r="O826" s="7"/>
    </row>
    <row r="827">
      <c r="A827" s="29">
        <f>IFERROR(__xludf.DUMMYFUNCTION("""COMPUTED_VALUE"""),823.0)</f>
        <v>823</v>
      </c>
      <c r="B827" s="7" t="str">
        <f>IFERROR(__xludf.DUMMYFUNCTION("""COMPUTED_VALUE"""),"Vor mehr als 30 Tagen")</f>
        <v>Vor mehr als 30 Tagen</v>
      </c>
      <c r="C827" s="7" t="str">
        <f>IFERROR(__xludf.DUMMYFUNCTION("""COMPUTED_VALUE"""),"Data Analyst (w/m/d) für Feuerwehrfachdaten")</f>
        <v>Data Analyst (w/m/d) für Feuerwehrfachdaten</v>
      </c>
      <c r="D827" s="7" t="str">
        <f>IFERROR(__xludf.DUMMYFUNCTION("""COMPUTED_VALUE"""),"Frankfurt am Main")</f>
        <v>Frankfurt am Main</v>
      </c>
      <c r="E827" s="7" t="str">
        <f>IFERROR(__xludf.DUMMYFUNCTION("""COMPUTED_VALUE"""),"Stadt Frankfurt am Main")</f>
        <v>Stadt Frankfurt am Main</v>
      </c>
      <c r="F827" s="7" t="str">
        <f>IFERROR(__xludf.DUMMYFUNCTION("""COMPUTED_VALUE"""),"None")</f>
        <v>None</v>
      </c>
      <c r="G827" s="7" t="str">
        <f>IFERROR(__xludf.DUMMYFUNCTION("""COMPUTED_VALUE"""),"No salary data")</f>
        <v>No salary data</v>
      </c>
      <c r="H827" s="7" t="str">
        <f>IFERROR(__xludf.DUMMYFUNCTION("""COMPUTED_VALUE"""),"No salary data")</f>
        <v>No salary data</v>
      </c>
      <c r="I827" s="7" t="str">
        <f>IFERROR(__xludf.DUMMYFUNCTION("""COMPUTED_VALUE"""),"No salary data")</f>
        <v>No salary data</v>
      </c>
      <c r="J827" s="7" t="str">
        <f>IFERROR(__xludf.DUMMYFUNCTION("""COMPUTED_VALUE"""),"Python, SQL")</f>
        <v>Python, SQL</v>
      </c>
      <c r="K827" s="7" t="str">
        <f>IFERROR(__xludf.DUMMYFUNCTION("""COMPUTED_VALUE"""),"No job type data")</f>
        <v>No job type data</v>
      </c>
      <c r="L827" s="7" t="str">
        <f>IFERROR(__xludf.DUMMYFUNCTION("""COMPUTED_VALUE"""),"3,3")</f>
        <v>3,3</v>
      </c>
      <c r="M827" s="7"/>
      <c r="N827" s="7"/>
      <c r="O827" s="7"/>
    </row>
    <row r="828">
      <c r="A828" s="29">
        <f>IFERROR(__xludf.DUMMYFUNCTION("""COMPUTED_VALUE"""),824.0)</f>
        <v>824</v>
      </c>
      <c r="B828" s="7" t="str">
        <f>IFERROR(__xludf.DUMMYFUNCTION("""COMPUTED_VALUE"""),"vor 7 Tagen")</f>
        <v>vor 7 Tagen</v>
      </c>
      <c r="C828" s="7" t="str">
        <f>IFERROR(__xludf.DUMMYFUNCTION("""COMPUTED_VALUE"""),"Abteilungsleiter Data Analytics / Data Scientist – Controlli...")</f>
        <v>Abteilungsleiter Data Analytics / Data Scientist – Controlli...</v>
      </c>
      <c r="D828" s="7" t="str">
        <f>IFERROR(__xludf.DUMMYFUNCTION("""COMPUTED_VALUE"""),"Neckarsulm")</f>
        <v>Neckarsulm</v>
      </c>
      <c r="E828" s="7" t="str">
        <f>IFERROR(__xludf.DUMMYFUNCTION("""COMPUTED_VALUE"""),"Lidl Dienstleistung GmbH &amp; Co. KG")</f>
        <v>Lidl Dienstleistung GmbH &amp; Co. KG</v>
      </c>
      <c r="F828" s="7" t="str">
        <f>IFERROR(__xludf.DUMMYFUNCTION("""COMPUTED_VALUE"""),"None")</f>
        <v>None</v>
      </c>
      <c r="G828" s="7" t="str">
        <f>IFERROR(__xludf.DUMMYFUNCTION("""COMPUTED_VALUE"""),"No salary data")</f>
        <v>No salary data</v>
      </c>
      <c r="H828" s="7" t="str">
        <f>IFERROR(__xludf.DUMMYFUNCTION("""COMPUTED_VALUE"""),"No salary data")</f>
        <v>No salary data</v>
      </c>
      <c r="I828" s="7" t="str">
        <f>IFERROR(__xludf.DUMMYFUNCTION("""COMPUTED_VALUE"""),"No salary data")</f>
        <v>No salary data</v>
      </c>
      <c r="J828" s="7" t="str">
        <f>IFERROR(__xludf.DUMMYFUNCTION("""COMPUTED_VALUE"""),"Python, SQL")</f>
        <v>Python, SQL</v>
      </c>
      <c r="K828" s="7" t="str">
        <f>IFERROR(__xludf.DUMMYFUNCTION("""COMPUTED_VALUE"""),"No job type data")</f>
        <v>No job type data</v>
      </c>
      <c r="L828" s="7" t="str">
        <f>IFERROR(__xludf.DUMMYFUNCTION("""COMPUTED_VALUE"""),"3,3")</f>
        <v>3,3</v>
      </c>
      <c r="M828" s="7"/>
      <c r="N828" s="7"/>
      <c r="O828" s="7"/>
    </row>
    <row r="829">
      <c r="A829" s="29">
        <f>IFERROR(__xludf.DUMMYFUNCTION("""COMPUTED_VALUE"""),825.0)</f>
        <v>825</v>
      </c>
      <c r="B829" s="7" t="str">
        <f>IFERROR(__xludf.DUMMYFUNCTION("""COMPUTED_VALUE"""),"Vor mehr als 30 Tagen")</f>
        <v>Vor mehr als 30 Tagen</v>
      </c>
      <c r="C829" s="7" t="str">
        <f>IFERROR(__xludf.DUMMYFUNCTION("""COMPUTED_VALUE"""),"Data Architect (m/f/d)")</f>
        <v>Data Architect (m/f/d)</v>
      </c>
      <c r="D829" s="7" t="str">
        <f>IFERROR(__xludf.DUMMYFUNCTION("""COMPUTED_VALUE"""),"Vilsbiburg")</f>
        <v>Vilsbiburg</v>
      </c>
      <c r="E829" s="7" t="str">
        <f>IFERROR(__xludf.DUMMYFUNCTION("""COMPUTED_VALUE"""),"DRÄXLMAIER Group")</f>
        <v>DRÄXLMAIER Group</v>
      </c>
      <c r="F829" s="7" t="str">
        <f>IFERROR(__xludf.DUMMYFUNCTION("""COMPUTED_VALUE"""),"None")</f>
        <v>None</v>
      </c>
      <c r="G829" s="7" t="str">
        <f>IFERROR(__xludf.DUMMYFUNCTION("""COMPUTED_VALUE"""),"No salary data")</f>
        <v>No salary data</v>
      </c>
      <c r="H829" s="7" t="str">
        <f>IFERROR(__xludf.DUMMYFUNCTION("""COMPUTED_VALUE"""),"No salary data")</f>
        <v>No salary data</v>
      </c>
      <c r="I829" s="7" t="str">
        <f>IFERROR(__xludf.DUMMYFUNCTION("""COMPUTED_VALUE"""),"No salary data")</f>
        <v>No salary data</v>
      </c>
      <c r="J829" s="7"/>
      <c r="K829" s="7" t="str">
        <f>IFERROR(__xludf.DUMMYFUNCTION("""COMPUTED_VALUE"""),"No job type data")</f>
        <v>No job type data</v>
      </c>
      <c r="L829" s="7" t="str">
        <f>IFERROR(__xludf.DUMMYFUNCTION("""COMPUTED_VALUE"""),"3,7")</f>
        <v>3,7</v>
      </c>
      <c r="M829" s="7"/>
      <c r="N829" s="7"/>
      <c r="O829" s="7"/>
    </row>
    <row r="830">
      <c r="A830" s="29">
        <f>IFERROR(__xludf.DUMMYFUNCTION("""COMPUTED_VALUE"""),826.0)</f>
        <v>826</v>
      </c>
      <c r="B830" s="7" t="str">
        <f>IFERROR(__xludf.DUMMYFUNCTION("""COMPUTED_VALUE"""),"Vor mehr als 30 Tagen")</f>
        <v>Vor mehr als 30 Tagen</v>
      </c>
      <c r="C830" s="7" t="str">
        <f>IFERROR(__xludf.DUMMYFUNCTION("""COMPUTED_VALUE"""),"Data Engineer (m/w/d)")</f>
        <v>Data Engineer (m/w/d)</v>
      </c>
      <c r="D830" s="7" t="str">
        <f>IFERROR(__xludf.DUMMYFUNCTION("""COMPUTED_VALUE"""),"Neuss")</f>
        <v>Neuss</v>
      </c>
      <c r="E830" s="7" t="str">
        <f>IFERROR(__xludf.DUMMYFUNCTION("""COMPUTED_VALUE"""),"Bank11 für Privatkunden und Handel GmbH")</f>
        <v>Bank11 für Privatkunden und Handel GmbH</v>
      </c>
      <c r="F830" s="7" t="str">
        <f>IFERROR(__xludf.DUMMYFUNCTION("""COMPUTED_VALUE"""),"None")</f>
        <v>None</v>
      </c>
      <c r="G830" s="7" t="str">
        <f>IFERROR(__xludf.DUMMYFUNCTION("""COMPUTED_VALUE"""),"No salary data")</f>
        <v>No salary data</v>
      </c>
      <c r="H830" s="7" t="str">
        <f>IFERROR(__xludf.DUMMYFUNCTION("""COMPUTED_VALUE"""),"No salary data")</f>
        <v>No salary data</v>
      </c>
      <c r="I830" s="7" t="str">
        <f>IFERROR(__xludf.DUMMYFUNCTION("""COMPUTED_VALUE"""),"No salary data")</f>
        <v>No salary data</v>
      </c>
      <c r="J830" s="7" t="str">
        <f>IFERROR(__xludf.DUMMYFUNCTION("""COMPUTED_VALUE"""),"SQL")</f>
        <v>SQL</v>
      </c>
      <c r="K830" s="7" t="str">
        <f>IFERROR(__xludf.DUMMYFUNCTION("""COMPUTED_VALUE"""),"No job type data")</f>
        <v>No job type data</v>
      </c>
      <c r="L830" s="7" t="str">
        <f>IFERROR(__xludf.DUMMYFUNCTION("""COMPUTED_VALUE"""),"1,5")</f>
        <v>1,5</v>
      </c>
      <c r="M830" s="7"/>
      <c r="N830" s="7"/>
      <c r="O830" s="7"/>
    </row>
    <row r="831">
      <c r="A831" s="29">
        <f>IFERROR(__xludf.DUMMYFUNCTION("""COMPUTED_VALUE"""),827.0)</f>
        <v>827</v>
      </c>
      <c r="B831" s="7" t="str">
        <f>IFERROR(__xludf.DUMMYFUNCTION("""COMPUTED_VALUE"""),"vor 10 Tagen")</f>
        <v>vor 10 Tagen</v>
      </c>
      <c r="C831" s="7" t="str">
        <f>IFERROR(__xludf.DUMMYFUNCTION("""COMPUTED_VALUE"""),"Business Intelligence Developer DWH (m/w/d)")</f>
        <v>Business Intelligence Developer DWH (m/w/d)</v>
      </c>
      <c r="D831" s="7" t="str">
        <f>IFERROR(__xludf.DUMMYFUNCTION("""COMPUTED_VALUE"""),"Essen")</f>
        <v>Essen</v>
      </c>
      <c r="E831" s="7" t="str">
        <f>IFERROR(__xludf.DUMMYFUNCTION("""COMPUTED_VALUE"""),"ifm electronic")</f>
        <v>ifm electronic</v>
      </c>
      <c r="F831" s="7" t="str">
        <f>IFERROR(__xludf.DUMMYFUNCTION("""COMPUTED_VALUE"""),"None")</f>
        <v>None</v>
      </c>
      <c r="G831" s="7" t="str">
        <f>IFERROR(__xludf.DUMMYFUNCTION("""COMPUTED_VALUE"""),"No salary data")</f>
        <v>No salary data</v>
      </c>
      <c r="H831" s="7" t="str">
        <f>IFERROR(__xludf.DUMMYFUNCTION("""COMPUTED_VALUE"""),"No salary data")</f>
        <v>No salary data</v>
      </c>
      <c r="I831" s="7" t="str">
        <f>IFERROR(__xludf.DUMMYFUNCTION("""COMPUTED_VALUE"""),"No salary data")</f>
        <v>No salary data</v>
      </c>
      <c r="J831" s="7"/>
      <c r="K831" s="7" t="str">
        <f>IFERROR(__xludf.DUMMYFUNCTION("""COMPUTED_VALUE"""),"No job type data")</f>
        <v>No job type data</v>
      </c>
      <c r="L831" s="7" t="str">
        <f>IFERROR(__xludf.DUMMYFUNCTION("""COMPUTED_VALUE"""),"3,7")</f>
        <v>3,7</v>
      </c>
      <c r="M831" s="7"/>
      <c r="N831" s="7"/>
      <c r="O831" s="7"/>
    </row>
    <row r="832">
      <c r="A832" s="29">
        <f>IFERROR(__xludf.DUMMYFUNCTION("""COMPUTED_VALUE"""),828.0)</f>
        <v>828</v>
      </c>
      <c r="B832" s="7" t="str">
        <f>IFERROR(__xludf.DUMMYFUNCTION("""COMPUTED_VALUE"""),"Vor mehr als 30 Tagen")</f>
        <v>Vor mehr als 30 Tagen</v>
      </c>
      <c r="C832" s="7" t="str">
        <f>IFERROR(__xludf.DUMMYFUNCTION("""COMPUTED_VALUE"""),"Data Analyst - Business Intelligence (m/w/d)")</f>
        <v>Data Analyst - Business Intelligence (m/w/d)</v>
      </c>
      <c r="D832" s="7" t="str">
        <f>IFERROR(__xludf.DUMMYFUNCTION("""COMPUTED_VALUE"""),"Köln")</f>
        <v>Köln</v>
      </c>
      <c r="E832" s="7" t="str">
        <f>IFERROR(__xludf.DUMMYFUNCTION("""COMPUTED_VALUE"""),"Allgeier Experts Pro GmbH")</f>
        <v>Allgeier Experts Pro GmbH</v>
      </c>
      <c r="F832" s="7" t="str">
        <f>IFERROR(__xludf.DUMMYFUNCTION("""COMPUTED_VALUE"""),"None")</f>
        <v>None</v>
      </c>
      <c r="G832" s="7" t="str">
        <f>IFERROR(__xludf.DUMMYFUNCTION("""COMPUTED_VALUE"""),"No salary data")</f>
        <v>No salary data</v>
      </c>
      <c r="H832" s="7" t="str">
        <f>IFERROR(__xludf.DUMMYFUNCTION("""COMPUTED_VALUE"""),"No salary data")</f>
        <v>No salary data</v>
      </c>
      <c r="I832" s="7" t="str">
        <f>IFERROR(__xludf.DUMMYFUNCTION("""COMPUTED_VALUE"""),"No salary data")</f>
        <v>No salary data</v>
      </c>
      <c r="J832" s="7"/>
      <c r="K832" s="7" t="str">
        <f>IFERROR(__xludf.DUMMYFUNCTION("""COMPUTED_VALUE"""),"No job type data")</f>
        <v>No job type data</v>
      </c>
      <c r="L832" s="7" t="str">
        <f>IFERROR(__xludf.DUMMYFUNCTION("""COMPUTED_VALUE"""),"4,5")</f>
        <v>4,5</v>
      </c>
      <c r="M832" s="7"/>
      <c r="N832" s="7"/>
      <c r="O832" s="7"/>
    </row>
    <row r="833">
      <c r="A833" s="29">
        <f>IFERROR(__xludf.DUMMYFUNCTION("""COMPUTED_VALUE"""),829.0)</f>
        <v>829</v>
      </c>
      <c r="B833" s="7" t="str">
        <f>IFERROR(__xludf.DUMMYFUNCTION("""COMPUTED_VALUE"""),"vor 5 Tagen")</f>
        <v>vor 5 Tagen</v>
      </c>
      <c r="C833" s="7" t="str">
        <f>IFERROR(__xludf.DUMMYFUNCTION("""COMPUTED_VALUE"""),"Data and Process Business Manager (m/w/d)")</f>
        <v>Data and Process Business Manager (m/w/d)</v>
      </c>
      <c r="D833" s="7" t="str">
        <f>IFERROR(__xludf.DUMMYFUNCTION("""COMPUTED_VALUE"""),"Bad Camberg")</f>
        <v>Bad Camberg</v>
      </c>
      <c r="E833" s="7" t="str">
        <f>IFERROR(__xludf.DUMMYFUNCTION("""COMPUTED_VALUE"""),"Serviceware SE")</f>
        <v>Serviceware SE</v>
      </c>
      <c r="F833" s="7" t="str">
        <f>IFERROR(__xludf.DUMMYFUNCTION("""COMPUTED_VALUE"""),"None")</f>
        <v>None</v>
      </c>
      <c r="G833" s="7" t="str">
        <f>IFERROR(__xludf.DUMMYFUNCTION("""COMPUTED_VALUE"""),"No salary data")</f>
        <v>No salary data</v>
      </c>
      <c r="H833" s="7" t="str">
        <f>IFERROR(__xludf.DUMMYFUNCTION("""COMPUTED_VALUE"""),"No salary data")</f>
        <v>No salary data</v>
      </c>
      <c r="I833" s="7" t="str">
        <f>IFERROR(__xludf.DUMMYFUNCTION("""COMPUTED_VALUE"""),"No salary data")</f>
        <v>No salary data</v>
      </c>
      <c r="J833" s="7" t="str">
        <f>IFERROR(__xludf.DUMMYFUNCTION("""COMPUTED_VALUE"""),"Excel, Git")</f>
        <v>Excel, Git</v>
      </c>
      <c r="K833" s="7" t="str">
        <f>IFERROR(__xludf.DUMMYFUNCTION("""COMPUTED_VALUE"""),"No job type data")</f>
        <v>No job type data</v>
      </c>
      <c r="L833" s="7" t="str">
        <f>IFERROR(__xludf.DUMMYFUNCTION("""COMPUTED_VALUE"""),"None")</f>
        <v>None</v>
      </c>
      <c r="M833" s="7"/>
      <c r="N833" s="7"/>
      <c r="O833" s="7"/>
    </row>
    <row r="834">
      <c r="A834" s="29">
        <f>IFERROR(__xludf.DUMMYFUNCTION("""COMPUTED_VALUE"""),830.0)</f>
        <v>830</v>
      </c>
      <c r="B834" s="7" t="str">
        <f>IFERROR(__xludf.DUMMYFUNCTION("""COMPUTED_VALUE"""),"Vor mehr als 30 Tagen")</f>
        <v>Vor mehr als 30 Tagen</v>
      </c>
      <c r="C834" s="7" t="str">
        <f>IFERROR(__xludf.DUMMYFUNCTION("""COMPUTED_VALUE"""),"Consultant Digital Analytics (m/w/d)")</f>
        <v>Consultant Digital Analytics (m/w/d)</v>
      </c>
      <c r="D834" s="7" t="str">
        <f>IFERROR(__xludf.DUMMYFUNCTION("""COMPUTED_VALUE"""),"Essen")</f>
        <v>Essen</v>
      </c>
      <c r="E834" s="7" t="str">
        <f>IFERROR(__xludf.DUMMYFUNCTION("""COMPUTED_VALUE"""),"ALDI Nord")</f>
        <v>ALDI Nord</v>
      </c>
      <c r="F834" s="7" t="str">
        <f>IFERROR(__xludf.DUMMYFUNCTION("""COMPUTED_VALUE"""),"None")</f>
        <v>None</v>
      </c>
      <c r="G834" s="7" t="str">
        <f>IFERROR(__xludf.DUMMYFUNCTION("""COMPUTED_VALUE"""),"No salary data")</f>
        <v>No salary data</v>
      </c>
      <c r="H834" s="7" t="str">
        <f>IFERROR(__xludf.DUMMYFUNCTION("""COMPUTED_VALUE"""),"No salary data")</f>
        <v>No salary data</v>
      </c>
      <c r="I834" s="7" t="str">
        <f>IFERROR(__xludf.DUMMYFUNCTION("""COMPUTED_VALUE"""),"No salary data")</f>
        <v>No salary data</v>
      </c>
      <c r="J834" s="7" t="str">
        <f>IFERROR(__xludf.DUMMYFUNCTION("""COMPUTED_VALUE"""),"Python, Tableau, Git")</f>
        <v>Python, Tableau, Git</v>
      </c>
      <c r="K834" s="7" t="str">
        <f>IFERROR(__xludf.DUMMYFUNCTION("""COMPUTED_VALUE"""),"No job type data")</f>
        <v>No job type data</v>
      </c>
      <c r="L834" s="7" t="str">
        <f>IFERROR(__xludf.DUMMYFUNCTION("""COMPUTED_VALUE"""),"3,2")</f>
        <v>3,2</v>
      </c>
      <c r="M834" s="7"/>
      <c r="N834" s="7"/>
      <c r="O834" s="7"/>
    </row>
    <row r="835">
      <c r="A835" s="29">
        <f>IFERROR(__xludf.DUMMYFUNCTION("""COMPUTED_VALUE"""),831.0)</f>
        <v>831</v>
      </c>
      <c r="B835" s="7" t="str">
        <f>IFERROR(__xludf.DUMMYFUNCTION("""COMPUTED_VALUE"""),"vor 2 Tagen")</f>
        <v>vor 2 Tagen</v>
      </c>
      <c r="C835" s="7" t="str">
        <f>IFERROR(__xludf.DUMMYFUNCTION("""COMPUTED_VALUE"""),"Data Engineer (w/m/d)")</f>
        <v>Data Engineer (w/m/d)</v>
      </c>
      <c r="D835" s="7" t="str">
        <f>IFERROR(__xludf.DUMMYFUNCTION("""COMPUTED_VALUE"""),"Frankfurt am Main")</f>
        <v>Frankfurt am Main</v>
      </c>
      <c r="E835" s="7" t="str">
        <f>IFERROR(__xludf.DUMMYFUNCTION("""COMPUTED_VALUE"""),"Deutsche Bahn")</f>
        <v>Deutsche Bahn</v>
      </c>
      <c r="F835" s="7" t="str">
        <f>IFERROR(__xludf.DUMMYFUNCTION("""COMPUTED_VALUE"""),"None")</f>
        <v>None</v>
      </c>
      <c r="G835" s="7" t="str">
        <f>IFERROR(__xludf.DUMMYFUNCTION("""COMPUTED_VALUE"""),"No salary data")</f>
        <v>No salary data</v>
      </c>
      <c r="H835" s="7" t="str">
        <f>IFERROR(__xludf.DUMMYFUNCTION("""COMPUTED_VALUE"""),"No salary data")</f>
        <v>No salary data</v>
      </c>
      <c r="I835" s="7" t="str">
        <f>IFERROR(__xludf.DUMMYFUNCTION("""COMPUTED_VALUE"""),"No salary data")</f>
        <v>No salary data</v>
      </c>
      <c r="J835" s="7" t="str">
        <f>IFERROR(__xludf.DUMMYFUNCTION("""COMPUTED_VALUE"""),"Git, Agile")</f>
        <v>Git, Agile</v>
      </c>
      <c r="K835" s="7" t="str">
        <f>IFERROR(__xludf.DUMMYFUNCTION("""COMPUTED_VALUE"""),"No job type data")</f>
        <v>No job type data</v>
      </c>
      <c r="L835" s="7" t="str">
        <f>IFERROR(__xludf.DUMMYFUNCTION("""COMPUTED_VALUE"""),"3,5")</f>
        <v>3,5</v>
      </c>
      <c r="M835" s="7"/>
      <c r="N835" s="7"/>
      <c r="O835" s="7"/>
    </row>
    <row r="836">
      <c r="A836" s="29">
        <f>IFERROR(__xludf.DUMMYFUNCTION("""COMPUTED_VALUE"""),832.0)</f>
        <v>832</v>
      </c>
      <c r="B836" s="7" t="str">
        <f>IFERROR(__xludf.DUMMYFUNCTION("""COMPUTED_VALUE"""),"vor 5 Tagen")</f>
        <v>vor 5 Tagen</v>
      </c>
      <c r="C836" s="7" t="str">
        <f>IFERROR(__xludf.DUMMYFUNCTION("""COMPUTED_VALUE"""),"Data Quality Manager (m/w/d)")</f>
        <v>Data Quality Manager (m/w/d)</v>
      </c>
      <c r="D836" s="7" t="str">
        <f>IFERROR(__xludf.DUMMYFUNCTION("""COMPUTED_VALUE"""),"Hamburg")</f>
        <v>Hamburg</v>
      </c>
      <c r="E836" s="7" t="str">
        <f>IFERROR(__xludf.DUMMYFUNCTION("""COMPUTED_VALUE"""),"DZ HYP")</f>
        <v>DZ HYP</v>
      </c>
      <c r="F836" s="7" t="str">
        <f>IFERROR(__xludf.DUMMYFUNCTION("""COMPUTED_VALUE"""),"None")</f>
        <v>None</v>
      </c>
      <c r="G836" s="7" t="str">
        <f>IFERROR(__xludf.DUMMYFUNCTION("""COMPUTED_VALUE"""),"No salary data")</f>
        <v>No salary data</v>
      </c>
      <c r="H836" s="7" t="str">
        <f>IFERROR(__xludf.DUMMYFUNCTION("""COMPUTED_VALUE"""),"No salary data")</f>
        <v>No salary data</v>
      </c>
      <c r="I836" s="7" t="str">
        <f>IFERROR(__xludf.DUMMYFUNCTION("""COMPUTED_VALUE"""),"No salary data")</f>
        <v>No salary data</v>
      </c>
      <c r="J836" s="7" t="str">
        <f>IFERROR(__xludf.DUMMYFUNCTION("""COMPUTED_VALUE"""),"Git")</f>
        <v>Git</v>
      </c>
      <c r="K836" s="7" t="str">
        <f>IFERROR(__xludf.DUMMYFUNCTION("""COMPUTED_VALUE"""),"No job type data")</f>
        <v>No job type data</v>
      </c>
      <c r="L836" s="7" t="str">
        <f>IFERROR(__xludf.DUMMYFUNCTION("""COMPUTED_VALUE"""),"None")</f>
        <v>None</v>
      </c>
      <c r="M836" s="7"/>
      <c r="N836" s="7"/>
      <c r="O836" s="7"/>
    </row>
    <row r="837">
      <c r="A837" s="29">
        <f>IFERROR(__xludf.DUMMYFUNCTION("""COMPUTED_VALUE"""),833.0)</f>
        <v>833</v>
      </c>
      <c r="B837" s="7" t="str">
        <f>IFERROR(__xludf.DUMMYFUNCTION("""COMPUTED_VALUE"""),"Vor mehr als 30 Tagen")</f>
        <v>Vor mehr als 30 Tagen</v>
      </c>
      <c r="C837" s="7" t="str">
        <f>IFERROR(__xludf.DUMMYFUNCTION("""COMPUTED_VALUE"""),"(Senior) Consultant Artificial Intelligence &amp; Data Analytics...")</f>
        <v>(Senior) Consultant Artificial Intelligence &amp; Data Analytics...</v>
      </c>
      <c r="D837" s="7" t="str">
        <f>IFERROR(__xludf.DUMMYFUNCTION("""COMPUTED_VALUE"""),"München")</f>
        <v>München</v>
      </c>
      <c r="E837" s="7" t="str">
        <f>IFERROR(__xludf.DUMMYFUNCTION("""COMPUTED_VALUE"""),"msg systems")</f>
        <v>msg systems</v>
      </c>
      <c r="F837" s="7" t="str">
        <f>IFERROR(__xludf.DUMMYFUNCTION("""COMPUTED_VALUE"""),"None")</f>
        <v>None</v>
      </c>
      <c r="G837" s="7" t="str">
        <f>IFERROR(__xludf.DUMMYFUNCTION("""COMPUTED_VALUE"""),"No salary data")</f>
        <v>No salary data</v>
      </c>
      <c r="H837" s="7" t="str">
        <f>IFERROR(__xludf.DUMMYFUNCTION("""COMPUTED_VALUE"""),"No salary data")</f>
        <v>No salary data</v>
      </c>
      <c r="I837" s="7" t="str">
        <f>IFERROR(__xludf.DUMMYFUNCTION("""COMPUTED_VALUE"""),"No salary data")</f>
        <v>No salary data</v>
      </c>
      <c r="J837" s="7"/>
      <c r="K837" s="7" t="str">
        <f>IFERROR(__xludf.DUMMYFUNCTION("""COMPUTED_VALUE"""),"No job type data")</f>
        <v>No job type data</v>
      </c>
      <c r="L837" s="7" t="str">
        <f>IFERROR(__xludf.DUMMYFUNCTION("""COMPUTED_VALUE"""),"4,6")</f>
        <v>4,6</v>
      </c>
      <c r="M837" s="7"/>
      <c r="N837" s="7"/>
      <c r="O837" s="7"/>
    </row>
    <row r="838">
      <c r="A838" s="29">
        <f>IFERROR(__xludf.DUMMYFUNCTION("""COMPUTED_VALUE"""),834.0)</f>
        <v>834</v>
      </c>
      <c r="B838" s="7" t="str">
        <f>IFERROR(__xludf.DUMMYFUNCTION("""COMPUTED_VALUE"""),"Vor mehr als 30 Tagen")</f>
        <v>Vor mehr als 30 Tagen</v>
      </c>
      <c r="C838" s="7" t="str">
        <f>IFERROR(__xludf.DUMMYFUNCTION("""COMPUTED_VALUE"""),"Data Engineer Data Lake bei DB Energie (w/m/d)")</f>
        <v>Data Engineer Data Lake bei DB Energie (w/m/d)</v>
      </c>
      <c r="D838" s="7" t="str">
        <f>IFERROR(__xludf.DUMMYFUNCTION("""COMPUTED_VALUE"""),"Frankfurt am Main")</f>
        <v>Frankfurt am Main</v>
      </c>
      <c r="E838" s="7" t="str">
        <f>IFERROR(__xludf.DUMMYFUNCTION("""COMPUTED_VALUE"""),"Deutsche Bahn")</f>
        <v>Deutsche Bahn</v>
      </c>
      <c r="F838" s="7" t="str">
        <f>IFERROR(__xludf.DUMMYFUNCTION("""COMPUTED_VALUE"""),"None")</f>
        <v>None</v>
      </c>
      <c r="G838" s="7" t="str">
        <f>IFERROR(__xludf.DUMMYFUNCTION("""COMPUTED_VALUE"""),"No salary data")</f>
        <v>No salary data</v>
      </c>
      <c r="H838" s="7" t="str">
        <f>IFERROR(__xludf.DUMMYFUNCTION("""COMPUTED_VALUE"""),"No salary data")</f>
        <v>No salary data</v>
      </c>
      <c r="I838" s="7" t="str">
        <f>IFERROR(__xludf.DUMMYFUNCTION("""COMPUTED_VALUE"""),"No salary data")</f>
        <v>No salary data</v>
      </c>
      <c r="J838" s="7" t="str">
        <f>IFERROR(__xludf.DUMMYFUNCTION("""COMPUTED_VALUE"""),"Python, Agile")</f>
        <v>Python, Agile</v>
      </c>
      <c r="K838" s="7" t="str">
        <f>IFERROR(__xludf.DUMMYFUNCTION("""COMPUTED_VALUE"""),"No job type data")</f>
        <v>No job type data</v>
      </c>
      <c r="L838" s="7" t="str">
        <f>IFERROR(__xludf.DUMMYFUNCTION("""COMPUTED_VALUE"""),"3,5")</f>
        <v>3,5</v>
      </c>
      <c r="M838" s="7"/>
      <c r="N838" s="7"/>
      <c r="O838" s="7"/>
    </row>
    <row r="839">
      <c r="A839" s="29">
        <f>IFERROR(__xludf.DUMMYFUNCTION("""COMPUTED_VALUE"""),835.0)</f>
        <v>835</v>
      </c>
      <c r="B839" s="7" t="str">
        <f>IFERROR(__xludf.DUMMYFUNCTION("""COMPUTED_VALUE"""),"vor 12 Tagen")</f>
        <v>vor 12 Tagen</v>
      </c>
      <c r="C839" s="7" t="str">
        <f>IFERROR(__xludf.DUMMYFUNCTION("""COMPUTED_VALUE"""),"Daten Analyst im medizinischen Forschungsbereich (w/m/d)")</f>
        <v>Daten Analyst im medizinischen Forschungsbereich (w/m/d)</v>
      </c>
      <c r="D839" s="7" t="str">
        <f>IFERROR(__xludf.DUMMYFUNCTION("""COMPUTED_VALUE"""),"Berlin")</f>
        <v>Berlin</v>
      </c>
      <c r="E839" s="7" t="str">
        <f>IFERROR(__xludf.DUMMYFUNCTION("""COMPUTED_VALUE"""),"Brunel GmbH")</f>
        <v>Brunel GmbH</v>
      </c>
      <c r="F839" s="7" t="str">
        <f>IFERROR(__xludf.DUMMYFUNCTION("""COMPUTED_VALUE"""),"None")</f>
        <v>None</v>
      </c>
      <c r="G839" s="7" t="str">
        <f>IFERROR(__xludf.DUMMYFUNCTION("""COMPUTED_VALUE"""),"No salary data")</f>
        <v>No salary data</v>
      </c>
      <c r="H839" s="7" t="str">
        <f>IFERROR(__xludf.DUMMYFUNCTION("""COMPUTED_VALUE"""),"No salary data")</f>
        <v>No salary data</v>
      </c>
      <c r="I839" s="7" t="str">
        <f>IFERROR(__xludf.DUMMYFUNCTION("""COMPUTED_VALUE"""),"No salary data")</f>
        <v>No salary data</v>
      </c>
      <c r="J839" s="7"/>
      <c r="K839" s="7" t="str">
        <f>IFERROR(__xludf.DUMMYFUNCTION("""COMPUTED_VALUE"""),"No job type data")</f>
        <v>No job type data</v>
      </c>
      <c r="L839" s="7" t="str">
        <f>IFERROR(__xludf.DUMMYFUNCTION("""COMPUTED_VALUE"""),"3,9")</f>
        <v>3,9</v>
      </c>
      <c r="M839" s="7"/>
      <c r="N839" s="7"/>
      <c r="O839" s="7"/>
    </row>
    <row r="840">
      <c r="A840" s="29">
        <f>IFERROR(__xludf.DUMMYFUNCTION("""COMPUTED_VALUE"""),836.0)</f>
        <v>836</v>
      </c>
      <c r="B840" s="7" t="str">
        <f>IFERROR(__xludf.DUMMYFUNCTION("""COMPUTED_VALUE"""),"vor 12 Tagen")</f>
        <v>vor 12 Tagen</v>
      </c>
      <c r="C840" s="7" t="str">
        <f>IFERROR(__xludf.DUMMYFUNCTION("""COMPUTED_VALUE"""),"Inhouse Consultant Pricing &amp; Projects (m/f/x)")</f>
        <v>Inhouse Consultant Pricing &amp; Projects (m/f/x)</v>
      </c>
      <c r="D840" s="7" t="str">
        <f>IFERROR(__xludf.DUMMYFUNCTION("""COMPUTED_VALUE"""),"Berlin")</f>
        <v>Berlin</v>
      </c>
      <c r="E840" s="7" t="str">
        <f>IFERROR(__xludf.DUMMYFUNCTION("""COMPUTED_VALUE"""),"ImmoScout24")</f>
        <v>ImmoScout24</v>
      </c>
      <c r="F840" s="7" t="str">
        <f>IFERROR(__xludf.DUMMYFUNCTION("""COMPUTED_VALUE"""),"None")</f>
        <v>None</v>
      </c>
      <c r="G840" s="7" t="str">
        <f>IFERROR(__xludf.DUMMYFUNCTION("""COMPUTED_VALUE"""),"No salary data")</f>
        <v>No salary data</v>
      </c>
      <c r="H840" s="7" t="str">
        <f>IFERROR(__xludf.DUMMYFUNCTION("""COMPUTED_VALUE"""),"No salary data")</f>
        <v>No salary data</v>
      </c>
      <c r="I840" s="7" t="str">
        <f>IFERROR(__xludf.DUMMYFUNCTION("""COMPUTED_VALUE"""),"No salary data")</f>
        <v>No salary data</v>
      </c>
      <c r="J840" s="7" t="str">
        <f>IFERROR(__xludf.DUMMYFUNCTION("""COMPUTED_VALUE"""),"Python, SQL, Git")</f>
        <v>Python, SQL, Git</v>
      </c>
      <c r="K840" s="7" t="str">
        <f>IFERROR(__xludf.DUMMYFUNCTION("""COMPUTED_VALUE"""),"Permanent")</f>
        <v>Permanent</v>
      </c>
      <c r="L840" s="7" t="str">
        <f>IFERROR(__xludf.DUMMYFUNCTION("""COMPUTED_VALUE"""),"None")</f>
        <v>None</v>
      </c>
      <c r="M840" s="7"/>
      <c r="N840" s="7"/>
      <c r="O840" s="7"/>
    </row>
    <row r="841">
      <c r="A841" s="29">
        <f>IFERROR(__xludf.DUMMYFUNCTION("""COMPUTED_VALUE"""),837.0)</f>
        <v>837</v>
      </c>
      <c r="B841" s="7" t="str">
        <f>IFERROR(__xludf.DUMMYFUNCTION("""COMPUTED_VALUE"""),"Vor mehr als 30 Tagen")</f>
        <v>Vor mehr als 30 Tagen</v>
      </c>
      <c r="C841" s="7" t="str">
        <f>IFERROR(__xludf.DUMMYFUNCTION("""COMPUTED_VALUE"""),"Product Owner Data Science (m/w/d)")</f>
        <v>Product Owner Data Science (m/w/d)</v>
      </c>
      <c r="D841" s="7" t="str">
        <f>IFERROR(__xludf.DUMMYFUNCTION("""COMPUTED_VALUE"""),"Münster")</f>
        <v>Münster</v>
      </c>
      <c r="E841" s="7" t="str">
        <f>IFERROR(__xludf.DUMMYFUNCTION("""COMPUTED_VALUE"""),"flaschenpost SE")</f>
        <v>flaschenpost SE</v>
      </c>
      <c r="F841" s="7" t="str">
        <f>IFERROR(__xludf.DUMMYFUNCTION("""COMPUTED_VALUE"""),"None")</f>
        <v>None</v>
      </c>
      <c r="G841" s="7" t="str">
        <f>IFERROR(__xludf.DUMMYFUNCTION("""COMPUTED_VALUE"""),"No salary data")</f>
        <v>No salary data</v>
      </c>
      <c r="H841" s="7" t="str">
        <f>IFERROR(__xludf.DUMMYFUNCTION("""COMPUTED_VALUE"""),"No salary data")</f>
        <v>No salary data</v>
      </c>
      <c r="I841" s="7" t="str">
        <f>IFERROR(__xludf.DUMMYFUNCTION("""COMPUTED_VALUE"""),"No salary data")</f>
        <v>No salary data</v>
      </c>
      <c r="J841" s="7" t="str">
        <f>IFERROR(__xludf.DUMMYFUNCTION("""COMPUTED_VALUE"""),"SQL, Excel")</f>
        <v>SQL, Excel</v>
      </c>
      <c r="K841" s="7" t="str">
        <f>IFERROR(__xludf.DUMMYFUNCTION("""COMPUTED_VALUE"""),"No job type data")</f>
        <v>No job type data</v>
      </c>
      <c r="L841" s="7" t="str">
        <f>IFERROR(__xludf.DUMMYFUNCTION("""COMPUTED_VALUE"""),"2,2")</f>
        <v>2,2</v>
      </c>
      <c r="M841" s="7"/>
      <c r="N841" s="7"/>
      <c r="O841" s="7"/>
    </row>
    <row r="842">
      <c r="A842" s="29">
        <f>IFERROR(__xludf.DUMMYFUNCTION("""COMPUTED_VALUE"""),838.0)</f>
        <v>838</v>
      </c>
      <c r="B842" s="7" t="str">
        <f>IFERROR(__xludf.DUMMYFUNCTION("""COMPUTED_VALUE"""),"Vor mehr als 30 Tagen")</f>
        <v>Vor mehr als 30 Tagen</v>
      </c>
      <c r="C842" s="7" t="str">
        <f>IFERROR(__xludf.DUMMYFUNCTION("""COMPUTED_VALUE"""),"Data Engineer*")</f>
        <v>Data Engineer*</v>
      </c>
      <c r="D842" s="7" t="str">
        <f>IFERROR(__xludf.DUMMYFUNCTION("""COMPUTED_VALUE"""),"Hamburg")</f>
        <v>Hamburg</v>
      </c>
      <c r="E842" s="7" t="str">
        <f>IFERROR(__xludf.DUMMYFUNCTION("""COMPUTED_VALUE"""),"Berenberg Bank")</f>
        <v>Berenberg Bank</v>
      </c>
      <c r="F842" s="7" t="str">
        <f>IFERROR(__xludf.DUMMYFUNCTION("""COMPUTED_VALUE"""),"None")</f>
        <v>None</v>
      </c>
      <c r="G842" s="7" t="str">
        <f>IFERROR(__xludf.DUMMYFUNCTION("""COMPUTED_VALUE"""),"No salary data")</f>
        <v>No salary data</v>
      </c>
      <c r="H842" s="7" t="str">
        <f>IFERROR(__xludf.DUMMYFUNCTION("""COMPUTED_VALUE"""),"No salary data")</f>
        <v>No salary data</v>
      </c>
      <c r="I842" s="7" t="str">
        <f>IFERROR(__xludf.DUMMYFUNCTION("""COMPUTED_VALUE"""),"No salary data")</f>
        <v>No salary data</v>
      </c>
      <c r="J842" s="7" t="str">
        <f>IFERROR(__xludf.DUMMYFUNCTION("""COMPUTED_VALUE"""),"Python, SQL, Agile")</f>
        <v>Python, SQL, Agile</v>
      </c>
      <c r="K842" s="7" t="str">
        <f>IFERROR(__xludf.DUMMYFUNCTION("""COMPUTED_VALUE"""),"No job type data")</f>
        <v>No job type data</v>
      </c>
      <c r="L842" s="7" t="str">
        <f>IFERROR(__xludf.DUMMYFUNCTION("""COMPUTED_VALUE"""),"4,0")</f>
        <v>4,0</v>
      </c>
      <c r="M842" s="7"/>
      <c r="N842" s="7"/>
      <c r="O842" s="7"/>
    </row>
    <row r="843">
      <c r="A843" s="29">
        <f>IFERROR(__xludf.DUMMYFUNCTION("""COMPUTED_VALUE"""),839.0)</f>
        <v>839</v>
      </c>
      <c r="B843" s="7" t="str">
        <f>IFERROR(__xludf.DUMMYFUNCTION("""COMPUTED_VALUE"""),"vor 6 Tagen")</f>
        <v>vor 6 Tagen</v>
      </c>
      <c r="C843" s="7" t="str">
        <f>IFERROR(__xludf.DUMMYFUNCTION("""COMPUTED_VALUE"""),"Data Engineer (m/w/d) Machine Learning")</f>
        <v>Data Engineer (m/w/d) Machine Learning</v>
      </c>
      <c r="D843" s="7" t="str">
        <f>IFERROR(__xludf.DUMMYFUNCTION("""COMPUTED_VALUE"""),"Wuppertal")</f>
        <v>Wuppertal</v>
      </c>
      <c r="E843" s="7" t="str">
        <f>IFERROR(__xludf.DUMMYFUNCTION("""COMPUTED_VALUE"""),"REHSEARCH - eine Sparte der Rehbach Gruppe GmbH")</f>
        <v>REHSEARCH - eine Sparte der Rehbach Gruppe GmbH</v>
      </c>
      <c r="F843" s="7" t="str">
        <f>IFERROR(__xludf.DUMMYFUNCTION("""COMPUTED_VALUE"""),"None")</f>
        <v>None</v>
      </c>
      <c r="G843" s="7" t="str">
        <f>IFERROR(__xludf.DUMMYFUNCTION("""COMPUTED_VALUE"""),"No salary data")</f>
        <v>No salary data</v>
      </c>
      <c r="H843" s="7" t="str">
        <f>IFERROR(__xludf.DUMMYFUNCTION("""COMPUTED_VALUE"""),"No salary data")</f>
        <v>No salary data</v>
      </c>
      <c r="I843" s="7" t="str">
        <f>IFERROR(__xludf.DUMMYFUNCTION("""COMPUTED_VALUE"""),"No salary data")</f>
        <v>No salary data</v>
      </c>
      <c r="J843" s="7" t="str">
        <f>IFERROR(__xludf.DUMMYFUNCTION("""COMPUTED_VALUE"""),"Python, SQL, Machine Learning")</f>
        <v>Python, SQL, Machine Learning</v>
      </c>
      <c r="K843" s="7" t="str">
        <f>IFERROR(__xludf.DUMMYFUNCTION("""COMPUTED_VALUE"""),"No job type data")</f>
        <v>No job type data</v>
      </c>
      <c r="L843" s="7" t="str">
        <f>IFERROR(__xludf.DUMMYFUNCTION("""COMPUTED_VALUE"""),"5,0")</f>
        <v>5,0</v>
      </c>
      <c r="M843" s="7"/>
      <c r="N843" s="7"/>
      <c r="O843" s="7"/>
    </row>
    <row r="844">
      <c r="A844" s="29">
        <f>IFERROR(__xludf.DUMMYFUNCTION("""COMPUTED_VALUE"""),840.0)</f>
        <v>840</v>
      </c>
      <c r="B844" s="7" t="str">
        <f>IFERROR(__xludf.DUMMYFUNCTION("""COMPUTED_VALUE"""),"Vor mehr als 30 Tagen")</f>
        <v>Vor mehr als 30 Tagen</v>
      </c>
      <c r="C844" s="7" t="str">
        <f>IFERROR(__xludf.DUMMYFUNCTION("""COMPUTED_VALUE"""),"Senior Marketing Analyst (m/w/d)")</f>
        <v>Senior Marketing Analyst (m/w/d)</v>
      </c>
      <c r="D844" s="7" t="str">
        <f>IFERROR(__xludf.DUMMYFUNCTION("""COMPUTED_VALUE"""),"Münster")</f>
        <v>Münster</v>
      </c>
      <c r="E844" s="7" t="str">
        <f>IFERROR(__xludf.DUMMYFUNCTION("""COMPUTED_VALUE"""),"flaschenpost SE")</f>
        <v>flaschenpost SE</v>
      </c>
      <c r="F844" s="7" t="str">
        <f>IFERROR(__xludf.DUMMYFUNCTION("""COMPUTED_VALUE"""),"None")</f>
        <v>None</v>
      </c>
      <c r="G844" s="7" t="str">
        <f>IFERROR(__xludf.DUMMYFUNCTION("""COMPUTED_VALUE"""),"No salary data")</f>
        <v>No salary data</v>
      </c>
      <c r="H844" s="7" t="str">
        <f>IFERROR(__xludf.DUMMYFUNCTION("""COMPUTED_VALUE"""),"No salary data")</f>
        <v>No salary data</v>
      </c>
      <c r="I844" s="7" t="str">
        <f>IFERROR(__xludf.DUMMYFUNCTION("""COMPUTED_VALUE"""),"No salary data")</f>
        <v>No salary data</v>
      </c>
      <c r="J844" s="7" t="str">
        <f>IFERROR(__xludf.DUMMYFUNCTION("""COMPUTED_VALUE"""),"Python, SQL, Excel, Agile")</f>
        <v>Python, SQL, Excel, Agile</v>
      </c>
      <c r="K844" s="7" t="str">
        <f>IFERROR(__xludf.DUMMYFUNCTION("""COMPUTED_VALUE"""),"No job type data")</f>
        <v>No job type data</v>
      </c>
      <c r="L844" s="7" t="str">
        <f>IFERROR(__xludf.DUMMYFUNCTION("""COMPUTED_VALUE"""),"2,2")</f>
        <v>2,2</v>
      </c>
      <c r="M844" s="7"/>
      <c r="N844" s="7"/>
      <c r="O844" s="7"/>
    </row>
    <row r="845">
      <c r="A845" s="29">
        <f>IFERROR(__xludf.DUMMYFUNCTION("""COMPUTED_VALUE"""),841.0)</f>
        <v>841</v>
      </c>
      <c r="B845" s="7" t="str">
        <f>IFERROR(__xludf.DUMMYFUNCTION("""COMPUTED_VALUE"""),"vor 5 Tagen")</f>
        <v>vor 5 Tagen</v>
      </c>
      <c r="C845" s="7" t="str">
        <f>IFERROR(__xludf.DUMMYFUNCTION("""COMPUTED_VALUE"""),"Data and Process Business Manager (m/w/d)")</f>
        <v>Data and Process Business Manager (m/w/d)</v>
      </c>
      <c r="D845" s="7" t="str">
        <f>IFERROR(__xludf.DUMMYFUNCTION("""COMPUTED_VALUE"""),"Bad Camberg")</f>
        <v>Bad Camberg</v>
      </c>
      <c r="E845" s="7" t="str">
        <f>IFERROR(__xludf.DUMMYFUNCTION("""COMPUTED_VALUE"""),"Serviceware SE")</f>
        <v>Serviceware SE</v>
      </c>
      <c r="F845" s="7" t="str">
        <f>IFERROR(__xludf.DUMMYFUNCTION("""COMPUTED_VALUE"""),"None")</f>
        <v>None</v>
      </c>
      <c r="G845" s="7" t="str">
        <f>IFERROR(__xludf.DUMMYFUNCTION("""COMPUTED_VALUE"""),"No salary data")</f>
        <v>No salary data</v>
      </c>
      <c r="H845" s="7" t="str">
        <f>IFERROR(__xludf.DUMMYFUNCTION("""COMPUTED_VALUE"""),"No salary data")</f>
        <v>No salary data</v>
      </c>
      <c r="I845" s="7" t="str">
        <f>IFERROR(__xludf.DUMMYFUNCTION("""COMPUTED_VALUE"""),"No salary data")</f>
        <v>No salary data</v>
      </c>
      <c r="J845" s="7" t="str">
        <f>IFERROR(__xludf.DUMMYFUNCTION("""COMPUTED_VALUE"""),"Excel, Git")</f>
        <v>Excel, Git</v>
      </c>
      <c r="K845" s="7" t="str">
        <f>IFERROR(__xludf.DUMMYFUNCTION("""COMPUTED_VALUE"""),"No job type data")</f>
        <v>No job type data</v>
      </c>
      <c r="L845" s="7" t="str">
        <f>IFERROR(__xludf.DUMMYFUNCTION("""COMPUTED_VALUE"""),"None")</f>
        <v>None</v>
      </c>
      <c r="M845" s="7"/>
      <c r="N845" s="7"/>
      <c r="O845" s="7"/>
    </row>
    <row r="846">
      <c r="A846" s="29">
        <f>IFERROR(__xludf.DUMMYFUNCTION("""COMPUTED_VALUE"""),842.0)</f>
        <v>842</v>
      </c>
      <c r="B846" s="7" t="str">
        <f>IFERROR(__xludf.DUMMYFUNCTION("""COMPUTED_VALUE"""),"Vor mehr als 30 Tagen")</f>
        <v>Vor mehr als 30 Tagen</v>
      </c>
      <c r="C846" s="7" t="str">
        <f>IFERROR(__xludf.DUMMYFUNCTION("""COMPUTED_VALUE"""),"Junior Consultant Business Intelligence (m/w/d)")</f>
        <v>Junior Consultant Business Intelligence (m/w/d)</v>
      </c>
      <c r="D846" s="7" t="str">
        <f>IFERROR(__xludf.DUMMYFUNCTION("""COMPUTED_VALUE"""),"Deutschland")</f>
        <v>Deutschland</v>
      </c>
      <c r="E846" s="7" t="str">
        <f>IFERROR(__xludf.DUMMYFUNCTION("""COMPUTED_VALUE"""),"DYMATRIX CONSULTING GROUP GmbH")</f>
        <v>DYMATRIX CONSULTING GROUP GmbH</v>
      </c>
      <c r="F846" s="7" t="str">
        <f>IFERROR(__xludf.DUMMYFUNCTION("""COMPUTED_VALUE"""),"None")</f>
        <v>None</v>
      </c>
      <c r="G846" s="7" t="str">
        <f>IFERROR(__xludf.DUMMYFUNCTION("""COMPUTED_VALUE"""),"No salary data")</f>
        <v>No salary data</v>
      </c>
      <c r="H846" s="7" t="str">
        <f>IFERROR(__xludf.DUMMYFUNCTION("""COMPUTED_VALUE"""),"No salary data")</f>
        <v>No salary data</v>
      </c>
      <c r="I846" s="7" t="str">
        <f>IFERROR(__xludf.DUMMYFUNCTION("""COMPUTED_VALUE"""),"No salary data")</f>
        <v>No salary data</v>
      </c>
      <c r="J846" s="7"/>
      <c r="K846" s="7" t="str">
        <f>IFERROR(__xludf.DUMMYFUNCTION("""COMPUTED_VALUE"""),"No job type data")</f>
        <v>No job type data</v>
      </c>
      <c r="L846" s="7" t="str">
        <f>IFERROR(__xludf.DUMMYFUNCTION("""COMPUTED_VALUE"""),"4,8")</f>
        <v>4,8</v>
      </c>
      <c r="M846" s="7"/>
      <c r="N846" s="7"/>
      <c r="O846" s="7"/>
    </row>
    <row r="847">
      <c r="A847" s="29">
        <f>IFERROR(__xludf.DUMMYFUNCTION("""COMPUTED_VALUE"""),843.0)</f>
        <v>843</v>
      </c>
      <c r="B847" s="7" t="str">
        <f>IFERROR(__xludf.DUMMYFUNCTION("""COMPUTED_VALUE"""),"vor 5 Tagen")</f>
        <v>vor 5 Tagen</v>
      </c>
      <c r="C847" s="7" t="str">
        <f>IFERROR(__xludf.DUMMYFUNCTION("""COMPUTED_VALUE"""),"Projektmanager Data Warehouse (m/w/d)")</f>
        <v>Projektmanager Data Warehouse (m/w/d)</v>
      </c>
      <c r="D847" s="7" t="str">
        <f>IFERROR(__xludf.DUMMYFUNCTION("""COMPUTED_VALUE"""),"Hamburg")</f>
        <v>Hamburg</v>
      </c>
      <c r="E847" s="7" t="str">
        <f>IFERROR(__xludf.DUMMYFUNCTION("""COMPUTED_VALUE"""),"DZ HYP")</f>
        <v>DZ HYP</v>
      </c>
      <c r="F847" s="7" t="str">
        <f>IFERROR(__xludf.DUMMYFUNCTION("""COMPUTED_VALUE"""),"None")</f>
        <v>None</v>
      </c>
      <c r="G847" s="7" t="str">
        <f>IFERROR(__xludf.DUMMYFUNCTION("""COMPUTED_VALUE"""),"No salary data")</f>
        <v>No salary data</v>
      </c>
      <c r="H847" s="7" t="str">
        <f>IFERROR(__xludf.DUMMYFUNCTION("""COMPUTED_VALUE"""),"No salary data")</f>
        <v>No salary data</v>
      </c>
      <c r="I847" s="7" t="str">
        <f>IFERROR(__xludf.DUMMYFUNCTION("""COMPUTED_VALUE"""),"No salary data")</f>
        <v>No salary data</v>
      </c>
      <c r="J847" s="7"/>
      <c r="K847" s="7" t="str">
        <f>IFERROR(__xludf.DUMMYFUNCTION("""COMPUTED_VALUE"""),"No job type data")</f>
        <v>No job type data</v>
      </c>
      <c r="L847" s="7" t="str">
        <f>IFERROR(__xludf.DUMMYFUNCTION("""COMPUTED_VALUE"""),"None")</f>
        <v>None</v>
      </c>
      <c r="M847" s="7"/>
      <c r="N847" s="7"/>
      <c r="O847" s="7"/>
    </row>
    <row r="848">
      <c r="A848" s="29">
        <f>IFERROR(__xludf.DUMMYFUNCTION("""COMPUTED_VALUE"""),844.0)</f>
        <v>844</v>
      </c>
      <c r="B848" s="7" t="str">
        <f>IFERROR(__xludf.DUMMYFUNCTION("""COMPUTED_VALUE"""),"vor 20 Tagen")</f>
        <v>vor 20 Tagen</v>
      </c>
      <c r="C848" s="7" t="str">
        <f>IFERROR(__xludf.DUMMYFUNCTION("""COMPUTED_VALUE"""),"E-Commerce Manager / Web Data Analyst (mwx)")</f>
        <v>E-Commerce Manager / Web Data Analyst (mwx)</v>
      </c>
      <c r="D848" s="7" t="str">
        <f>IFERROR(__xludf.DUMMYFUNCTION("""COMPUTED_VALUE"""),"Düsseldorf")</f>
        <v>Düsseldorf</v>
      </c>
      <c r="E848" s="7" t="str">
        <f>IFERROR(__xludf.DUMMYFUNCTION("""COMPUTED_VALUE"""),"Dermalogica GmbH")</f>
        <v>Dermalogica GmbH</v>
      </c>
      <c r="F848" s="7" t="str">
        <f>IFERROR(__xludf.DUMMYFUNCTION("""COMPUTED_VALUE"""),"None")</f>
        <v>None</v>
      </c>
      <c r="G848" s="7" t="str">
        <f>IFERROR(__xludf.DUMMYFUNCTION("""COMPUTED_VALUE"""),"No salary data")</f>
        <v>No salary data</v>
      </c>
      <c r="H848" s="7" t="str">
        <f>IFERROR(__xludf.DUMMYFUNCTION("""COMPUTED_VALUE"""),"No salary data")</f>
        <v>No salary data</v>
      </c>
      <c r="I848" s="7" t="str">
        <f>IFERROR(__xludf.DUMMYFUNCTION("""COMPUTED_VALUE"""),"No salary data")</f>
        <v>No salary data</v>
      </c>
      <c r="J848" s="7" t="str">
        <f>IFERROR(__xludf.DUMMYFUNCTION("""COMPUTED_VALUE"""),"Git")</f>
        <v>Git</v>
      </c>
      <c r="K848" s="7" t="str">
        <f>IFERROR(__xludf.DUMMYFUNCTION("""COMPUTED_VALUE"""),"No job type data")</f>
        <v>No job type data</v>
      </c>
      <c r="L848" s="7" t="str">
        <f>IFERROR(__xludf.DUMMYFUNCTION("""COMPUTED_VALUE"""),"None")</f>
        <v>None</v>
      </c>
      <c r="M848" s="7"/>
      <c r="N848" s="7"/>
      <c r="O848" s="7"/>
    </row>
    <row r="849">
      <c r="A849" s="29">
        <f>IFERROR(__xludf.DUMMYFUNCTION("""COMPUTED_VALUE"""),845.0)</f>
        <v>845</v>
      </c>
      <c r="B849" s="7" t="str">
        <f>IFERROR(__xludf.DUMMYFUNCTION("""COMPUTED_VALUE"""),"vor 12 Tagen")</f>
        <v>vor 12 Tagen</v>
      </c>
      <c r="C849" s="7" t="str">
        <f>IFERROR(__xludf.DUMMYFUNCTION("""COMPUTED_VALUE"""),"Daten Analyst im medizinischen Forschungsbereich")</f>
        <v>Daten Analyst im medizinischen Forschungsbereich</v>
      </c>
      <c r="D849" s="7" t="str">
        <f>IFERROR(__xludf.DUMMYFUNCTION("""COMPUTED_VALUE"""),"Berlin")</f>
        <v>Berlin</v>
      </c>
      <c r="E849" s="7" t="str">
        <f>IFERROR(__xludf.DUMMYFUNCTION("""COMPUTED_VALUE"""),"Brunel")</f>
        <v>Brunel</v>
      </c>
      <c r="F849" s="7" t="str">
        <f>IFERROR(__xludf.DUMMYFUNCTION("""COMPUTED_VALUE"""),"None")</f>
        <v>None</v>
      </c>
      <c r="G849" s="7" t="str">
        <f>IFERROR(__xludf.DUMMYFUNCTION("""COMPUTED_VALUE"""),"No salary data")</f>
        <v>No salary data</v>
      </c>
      <c r="H849" s="7" t="str">
        <f>IFERROR(__xludf.DUMMYFUNCTION("""COMPUTED_VALUE"""),"No salary data")</f>
        <v>No salary data</v>
      </c>
      <c r="I849" s="7" t="str">
        <f>IFERROR(__xludf.DUMMYFUNCTION("""COMPUTED_VALUE"""),"No salary data")</f>
        <v>No salary data</v>
      </c>
      <c r="J849" s="7"/>
      <c r="K849" s="7" t="str">
        <f>IFERROR(__xludf.DUMMYFUNCTION("""COMPUTED_VALUE"""),"No job type data")</f>
        <v>No job type data</v>
      </c>
      <c r="L849" s="7" t="str">
        <f>IFERROR(__xludf.DUMMYFUNCTION("""COMPUTED_VALUE"""),"3,9")</f>
        <v>3,9</v>
      </c>
      <c r="M849" s="7"/>
      <c r="N849" s="7"/>
      <c r="O849" s="7"/>
    </row>
    <row r="850">
      <c r="A850" s="29">
        <f>IFERROR(__xludf.DUMMYFUNCTION("""COMPUTED_VALUE"""),846.0)</f>
        <v>846</v>
      </c>
      <c r="B850" s="7" t="str">
        <f>IFERROR(__xludf.DUMMYFUNCTION("""COMPUTED_VALUE"""),"Vor mehr als 30 Tagen")</f>
        <v>Vor mehr als 30 Tagen</v>
      </c>
      <c r="C850" s="7" t="str">
        <f>IFERROR(__xludf.DUMMYFUNCTION("""COMPUTED_VALUE"""),"Business Analyst / Data Analyst (m/w/d) Rückversicherung")</f>
        <v>Business Analyst / Data Analyst (m/w/d) Rückversicherung</v>
      </c>
      <c r="D850" s="7" t="str">
        <f>IFERROR(__xludf.DUMMYFUNCTION("""COMPUTED_VALUE"""),"Wiesbaden")</f>
        <v>Wiesbaden</v>
      </c>
      <c r="E850" s="7" t="str">
        <f>IFERROR(__xludf.DUMMYFUNCTION("""COMPUTED_VALUE"""),"R+V Versicherung AG")</f>
        <v>R+V Versicherung AG</v>
      </c>
      <c r="F850" s="7" t="str">
        <f>IFERROR(__xludf.DUMMYFUNCTION("""COMPUTED_VALUE"""),"None")</f>
        <v>None</v>
      </c>
      <c r="G850" s="7" t="str">
        <f>IFERROR(__xludf.DUMMYFUNCTION("""COMPUTED_VALUE"""),"No salary data")</f>
        <v>No salary data</v>
      </c>
      <c r="H850" s="7" t="str">
        <f>IFERROR(__xludf.DUMMYFUNCTION("""COMPUTED_VALUE"""),"No salary data")</f>
        <v>No salary data</v>
      </c>
      <c r="I850" s="7" t="str">
        <f>IFERROR(__xludf.DUMMYFUNCTION("""COMPUTED_VALUE"""),"No salary data")</f>
        <v>No salary data</v>
      </c>
      <c r="J850" s="7" t="str">
        <f>IFERROR(__xludf.DUMMYFUNCTION("""COMPUTED_VALUE"""),"SQL, Agile")</f>
        <v>SQL, Agile</v>
      </c>
      <c r="K850" s="7" t="str">
        <f>IFERROR(__xludf.DUMMYFUNCTION("""COMPUTED_VALUE"""),"No job type data")</f>
        <v>No job type data</v>
      </c>
      <c r="L850" s="7" t="str">
        <f>IFERROR(__xludf.DUMMYFUNCTION("""COMPUTED_VALUE"""),"3,8")</f>
        <v>3,8</v>
      </c>
      <c r="M850" s="7"/>
      <c r="N850" s="7"/>
      <c r="O850" s="7"/>
    </row>
    <row r="851">
      <c r="A851" s="29">
        <f>IFERROR(__xludf.DUMMYFUNCTION("""COMPUTED_VALUE"""),847.0)</f>
        <v>847</v>
      </c>
      <c r="B851" s="7" t="str">
        <f>IFERROR(__xludf.DUMMYFUNCTION("""COMPUTED_VALUE"""),"Vor mehr als 30 Tagen")</f>
        <v>Vor mehr als 30 Tagen</v>
      </c>
      <c r="C851" s="7" t="str">
        <f>IFERROR(__xludf.DUMMYFUNCTION("""COMPUTED_VALUE"""),"Junior Talent im Datenmanagement (w/m/d)")</f>
        <v>Junior Talent im Datenmanagement (w/m/d)</v>
      </c>
      <c r="D851" s="7" t="str">
        <f>IFERROR(__xludf.DUMMYFUNCTION("""COMPUTED_VALUE"""),"Frankfurt am Main")</f>
        <v>Frankfurt am Main</v>
      </c>
      <c r="E851" s="7" t="str">
        <f>IFERROR(__xludf.DUMMYFUNCTION("""COMPUTED_VALUE"""),"Deutsche Bahn")</f>
        <v>Deutsche Bahn</v>
      </c>
      <c r="F851" s="7" t="str">
        <f>IFERROR(__xludf.DUMMYFUNCTION("""COMPUTED_VALUE"""),"None")</f>
        <v>None</v>
      </c>
      <c r="G851" s="7" t="str">
        <f>IFERROR(__xludf.DUMMYFUNCTION("""COMPUTED_VALUE"""),"No salary data")</f>
        <v>No salary data</v>
      </c>
      <c r="H851" s="7" t="str">
        <f>IFERROR(__xludf.DUMMYFUNCTION("""COMPUTED_VALUE"""),"No salary data")</f>
        <v>No salary data</v>
      </c>
      <c r="I851" s="7" t="str">
        <f>IFERROR(__xludf.DUMMYFUNCTION("""COMPUTED_VALUE"""),"No salary data")</f>
        <v>No salary data</v>
      </c>
      <c r="J851" s="7" t="str">
        <f>IFERROR(__xludf.DUMMYFUNCTION("""COMPUTED_VALUE"""),"SQL, Excel, Git, Agile")</f>
        <v>SQL, Excel, Git, Agile</v>
      </c>
      <c r="K851" s="7" t="str">
        <f>IFERROR(__xludf.DUMMYFUNCTION("""COMPUTED_VALUE"""),"No job type data")</f>
        <v>No job type data</v>
      </c>
      <c r="L851" s="7" t="str">
        <f>IFERROR(__xludf.DUMMYFUNCTION("""COMPUTED_VALUE"""),"3,5")</f>
        <v>3,5</v>
      </c>
      <c r="M851" s="7"/>
      <c r="N851" s="7"/>
      <c r="O851" s="7"/>
    </row>
    <row r="852">
      <c r="A852" s="29">
        <f>IFERROR(__xludf.DUMMYFUNCTION("""COMPUTED_VALUE"""),848.0)</f>
        <v>848</v>
      </c>
      <c r="B852" s="7" t="str">
        <f>IFERROR(__xludf.DUMMYFUNCTION("""COMPUTED_VALUE"""),"vor 12 Tagen")</f>
        <v>vor 12 Tagen</v>
      </c>
      <c r="C852" s="7" t="str">
        <f>IFERROR(__xludf.DUMMYFUNCTION("""COMPUTED_VALUE"""),"User Experience Designer (m/w/d) für Data Driven Business")</f>
        <v>User Experience Designer (m/w/d) für Data Driven Business</v>
      </c>
      <c r="D852" s="7" t="str">
        <f>IFERROR(__xludf.DUMMYFUNCTION("""COMPUTED_VALUE"""),"Lübeck")</f>
        <v>Lübeck</v>
      </c>
      <c r="E852" s="7" t="str">
        <f>IFERROR(__xludf.DUMMYFUNCTION("""COMPUTED_VALUE"""),"Drägerwerk AG &amp; Co. KGaA")</f>
        <v>Drägerwerk AG &amp; Co. KGaA</v>
      </c>
      <c r="F852" s="7" t="str">
        <f>IFERROR(__xludf.DUMMYFUNCTION("""COMPUTED_VALUE"""),"None")</f>
        <v>None</v>
      </c>
      <c r="G852" s="7" t="str">
        <f>IFERROR(__xludf.DUMMYFUNCTION("""COMPUTED_VALUE"""),"No salary data")</f>
        <v>No salary data</v>
      </c>
      <c r="H852" s="7" t="str">
        <f>IFERROR(__xludf.DUMMYFUNCTION("""COMPUTED_VALUE"""),"No salary data")</f>
        <v>No salary data</v>
      </c>
      <c r="I852" s="7" t="str">
        <f>IFERROR(__xludf.DUMMYFUNCTION("""COMPUTED_VALUE"""),"No salary data")</f>
        <v>No salary data</v>
      </c>
      <c r="J852" s="7" t="str">
        <f>IFERROR(__xludf.DUMMYFUNCTION("""COMPUTED_VALUE"""),"Git")</f>
        <v>Git</v>
      </c>
      <c r="K852" s="7" t="str">
        <f>IFERROR(__xludf.DUMMYFUNCTION("""COMPUTED_VALUE"""),"No job type data")</f>
        <v>No job type data</v>
      </c>
      <c r="L852" s="7" t="str">
        <f>IFERROR(__xludf.DUMMYFUNCTION("""COMPUTED_VALUE"""),"3,7")</f>
        <v>3,7</v>
      </c>
      <c r="M852" s="7"/>
      <c r="N852" s="7"/>
      <c r="O852" s="7"/>
    </row>
    <row r="853">
      <c r="A853" s="29">
        <f>IFERROR(__xludf.DUMMYFUNCTION("""COMPUTED_VALUE"""),849.0)</f>
        <v>849</v>
      </c>
      <c r="B853" s="7" t="str">
        <f>IFERROR(__xludf.DUMMYFUNCTION("""COMPUTED_VALUE"""),"vor 9 Tagen")</f>
        <v>vor 9 Tagen</v>
      </c>
      <c r="C853" s="7" t="str">
        <f>IFERROR(__xludf.DUMMYFUNCTION("""COMPUTED_VALUE"""),"Process Expert Data Integrity (m/w/d)")</f>
        <v>Process Expert Data Integrity (m/w/d)</v>
      </c>
      <c r="D853" s="7" t="str">
        <f>IFERROR(__xludf.DUMMYFUNCTION("""COMPUTED_VALUE"""),"Biberach an der Riß")</f>
        <v>Biberach an der Riß</v>
      </c>
      <c r="E853" s="7" t="str">
        <f>IFERROR(__xludf.DUMMYFUNCTION("""COMPUTED_VALUE"""),"Kelly Services GmbH")</f>
        <v>Kelly Services GmbH</v>
      </c>
      <c r="F853" s="7" t="str">
        <f>IFERROR(__xludf.DUMMYFUNCTION("""COMPUTED_VALUE"""),"None")</f>
        <v>None</v>
      </c>
      <c r="G853" s="7" t="str">
        <f>IFERROR(__xludf.DUMMYFUNCTION("""COMPUTED_VALUE"""),"No salary data")</f>
        <v>No salary data</v>
      </c>
      <c r="H853" s="7" t="str">
        <f>IFERROR(__xludf.DUMMYFUNCTION("""COMPUTED_VALUE"""),"No salary data")</f>
        <v>No salary data</v>
      </c>
      <c r="I853" s="7" t="str">
        <f>IFERROR(__xludf.DUMMYFUNCTION("""COMPUTED_VALUE"""),"No salary data")</f>
        <v>No salary data</v>
      </c>
      <c r="J853" s="7"/>
      <c r="K853" s="7" t="str">
        <f>IFERROR(__xludf.DUMMYFUNCTION("""COMPUTED_VALUE"""),"No job type data")</f>
        <v>No job type data</v>
      </c>
      <c r="L853" s="7" t="str">
        <f>IFERROR(__xludf.DUMMYFUNCTION("""COMPUTED_VALUE"""),"4,2")</f>
        <v>4,2</v>
      </c>
      <c r="M853" s="7"/>
      <c r="N853" s="7"/>
      <c r="O853" s="7"/>
    </row>
    <row r="854">
      <c r="A854" s="29">
        <f>IFERROR(__xludf.DUMMYFUNCTION("""COMPUTED_VALUE"""),850.0)</f>
        <v>850</v>
      </c>
      <c r="B854" s="7" t="str">
        <f>IFERROR(__xludf.DUMMYFUNCTION("""COMPUTED_VALUE"""),"vor 14 Tagen")</f>
        <v>vor 14 Tagen</v>
      </c>
      <c r="C854" s="7" t="str">
        <f>IFERROR(__xludf.DUMMYFUNCTION("""COMPUTED_VALUE"""),"Process Expert Data Integrity (m/w/d)")</f>
        <v>Process Expert Data Integrity (m/w/d)</v>
      </c>
      <c r="D854" s="7" t="str">
        <f>IFERROR(__xludf.DUMMYFUNCTION("""COMPUTED_VALUE"""),"Biberach an der Riß")</f>
        <v>Biberach an der Riß</v>
      </c>
      <c r="E854" s="7" t="str">
        <f>IFERROR(__xludf.DUMMYFUNCTION("""COMPUTED_VALUE"""),"expertum GmbH")</f>
        <v>expertum GmbH</v>
      </c>
      <c r="F854" s="7" t="str">
        <f>IFERROR(__xludf.DUMMYFUNCTION("""COMPUTED_VALUE"""),"None")</f>
        <v>None</v>
      </c>
      <c r="G854" s="7" t="str">
        <f>IFERROR(__xludf.DUMMYFUNCTION("""COMPUTED_VALUE"""),"No salary data")</f>
        <v>No salary data</v>
      </c>
      <c r="H854" s="7" t="str">
        <f>IFERROR(__xludf.DUMMYFUNCTION("""COMPUTED_VALUE"""),"No salary data")</f>
        <v>No salary data</v>
      </c>
      <c r="I854" s="7" t="str">
        <f>IFERROR(__xludf.DUMMYFUNCTION("""COMPUTED_VALUE"""),"No salary data")</f>
        <v>No salary data</v>
      </c>
      <c r="J854" s="7"/>
      <c r="K854" s="7" t="str">
        <f>IFERROR(__xludf.DUMMYFUNCTION("""COMPUTED_VALUE"""),"No job type data")</f>
        <v>No job type data</v>
      </c>
      <c r="L854" s="7" t="str">
        <f>IFERROR(__xludf.DUMMYFUNCTION("""COMPUTED_VALUE"""),"4,0")</f>
        <v>4,0</v>
      </c>
      <c r="M854" s="7"/>
      <c r="N854" s="7"/>
      <c r="O854" s="7"/>
    </row>
    <row r="855">
      <c r="A855" s="29">
        <f>IFERROR(__xludf.DUMMYFUNCTION("""COMPUTED_VALUE"""),851.0)</f>
        <v>851</v>
      </c>
      <c r="B855" s="7" t="str">
        <f>IFERROR(__xludf.DUMMYFUNCTION("""COMPUTED_VALUE"""),"Vor mehr als 30 Tagen")</f>
        <v>Vor mehr als 30 Tagen</v>
      </c>
      <c r="C855" s="7" t="str">
        <f>IFERROR(__xludf.DUMMYFUNCTION("""COMPUTED_VALUE"""),"Database Marketing Analyst")</f>
        <v>Database Marketing Analyst</v>
      </c>
      <c r="D855" s="7" t="str">
        <f>IFERROR(__xludf.DUMMYFUNCTION("""COMPUTED_VALUE"""),"Herzogenrath")</f>
        <v>Herzogenrath</v>
      </c>
      <c r="E855" s="7" t="str">
        <f>IFERROR(__xludf.DUMMYFUNCTION("""COMPUTED_VALUE"""),"Wiertz Personal")</f>
        <v>Wiertz Personal</v>
      </c>
      <c r="F855" s="7" t="str">
        <f>IFERROR(__xludf.DUMMYFUNCTION("""COMPUTED_VALUE"""),"None")</f>
        <v>None</v>
      </c>
      <c r="G855" s="7" t="str">
        <f>IFERROR(__xludf.DUMMYFUNCTION("""COMPUTED_VALUE"""),"No salary data")</f>
        <v>No salary data</v>
      </c>
      <c r="H855" s="7" t="str">
        <f>IFERROR(__xludf.DUMMYFUNCTION("""COMPUTED_VALUE"""),"No salary data")</f>
        <v>No salary data</v>
      </c>
      <c r="I855" s="7" t="str">
        <f>IFERROR(__xludf.DUMMYFUNCTION("""COMPUTED_VALUE"""),"No salary data")</f>
        <v>No salary data</v>
      </c>
      <c r="J855" s="7" t="str">
        <f>IFERROR(__xludf.DUMMYFUNCTION("""COMPUTED_VALUE"""),"SQL, Excel")</f>
        <v>SQL, Excel</v>
      </c>
      <c r="K855" s="7" t="str">
        <f>IFERROR(__xludf.DUMMYFUNCTION("""COMPUTED_VALUE"""),"No job type data")</f>
        <v>No job type data</v>
      </c>
      <c r="L855" s="7" t="str">
        <f>IFERROR(__xludf.DUMMYFUNCTION("""COMPUTED_VALUE"""),"None")</f>
        <v>None</v>
      </c>
      <c r="M855" s="7"/>
      <c r="N855" s="7"/>
      <c r="O855" s="7"/>
    </row>
    <row r="856">
      <c r="A856" s="29">
        <f>IFERROR(__xludf.DUMMYFUNCTION("""COMPUTED_VALUE"""),852.0)</f>
        <v>852</v>
      </c>
      <c r="B856" s="7" t="str">
        <f>IFERROR(__xludf.DUMMYFUNCTION("""COMPUTED_VALUE"""),"Vor mehr als 30 Tagen")</f>
        <v>Vor mehr als 30 Tagen</v>
      </c>
      <c r="C856" s="7" t="str">
        <f>IFERROR(__xludf.DUMMYFUNCTION("""COMPUTED_VALUE"""),"Consultant Business Intelligence (m/w/d)")</f>
        <v>Consultant Business Intelligence (m/w/d)</v>
      </c>
      <c r="D856" s="7" t="str">
        <f>IFERROR(__xludf.DUMMYFUNCTION("""COMPUTED_VALUE"""),"Deutschland")</f>
        <v>Deutschland</v>
      </c>
      <c r="E856" s="7" t="str">
        <f>IFERROR(__xludf.DUMMYFUNCTION("""COMPUTED_VALUE"""),"Cintellic")</f>
        <v>Cintellic</v>
      </c>
      <c r="F856" s="7" t="str">
        <f>IFERROR(__xludf.DUMMYFUNCTION("""COMPUTED_VALUE"""),"None")</f>
        <v>None</v>
      </c>
      <c r="G856" s="7" t="str">
        <f>IFERROR(__xludf.DUMMYFUNCTION("""COMPUTED_VALUE"""),"No salary data")</f>
        <v>No salary data</v>
      </c>
      <c r="H856" s="7" t="str">
        <f>IFERROR(__xludf.DUMMYFUNCTION("""COMPUTED_VALUE"""),"No salary data")</f>
        <v>No salary data</v>
      </c>
      <c r="I856" s="7" t="str">
        <f>IFERROR(__xludf.DUMMYFUNCTION("""COMPUTED_VALUE"""),"No salary data")</f>
        <v>No salary data</v>
      </c>
      <c r="J856" s="7" t="str">
        <f>IFERROR(__xludf.DUMMYFUNCTION("""COMPUTED_VALUE"""),"Git")</f>
        <v>Git</v>
      </c>
      <c r="K856" s="7" t="str">
        <f>IFERROR(__xludf.DUMMYFUNCTION("""COMPUTED_VALUE"""),"No job type data")</f>
        <v>No job type data</v>
      </c>
      <c r="L856" s="7" t="str">
        <f>IFERROR(__xludf.DUMMYFUNCTION("""COMPUTED_VALUE"""),"5,0")</f>
        <v>5,0</v>
      </c>
      <c r="M856" s="7"/>
      <c r="N856" s="7"/>
      <c r="O856" s="7"/>
    </row>
    <row r="857">
      <c r="A857" s="29">
        <f>IFERROR(__xludf.DUMMYFUNCTION("""COMPUTED_VALUE"""),853.0)</f>
        <v>853</v>
      </c>
      <c r="B857" s="7" t="str">
        <f>IFERROR(__xludf.DUMMYFUNCTION("""COMPUTED_VALUE"""),"Vor mehr als 30 Tagen")</f>
        <v>Vor mehr als 30 Tagen</v>
      </c>
      <c r="C857" s="7" t="str">
        <f>IFERROR(__xludf.DUMMYFUNCTION("""COMPUTED_VALUE"""),"Data Integrity Specialist (m/w/d) im Pharmabereich")</f>
        <v>Data Integrity Specialist (m/w/d) im Pharmabereich</v>
      </c>
      <c r="D857" s="7" t="str">
        <f>IFERROR(__xludf.DUMMYFUNCTION("""COMPUTED_VALUE"""),"Biberach an der Riß")</f>
        <v>Biberach an der Riß</v>
      </c>
      <c r="E857" s="7" t="str">
        <f>IFERROR(__xludf.DUMMYFUNCTION("""COMPUTED_VALUE"""),"FERCHAU")</f>
        <v>FERCHAU</v>
      </c>
      <c r="F857" s="7" t="str">
        <f>IFERROR(__xludf.DUMMYFUNCTION("""COMPUTED_VALUE"""),"None")</f>
        <v>None</v>
      </c>
      <c r="G857" s="7" t="str">
        <f>IFERROR(__xludf.DUMMYFUNCTION("""COMPUTED_VALUE"""),"No salary data")</f>
        <v>No salary data</v>
      </c>
      <c r="H857" s="7" t="str">
        <f>IFERROR(__xludf.DUMMYFUNCTION("""COMPUTED_VALUE"""),"No salary data")</f>
        <v>No salary data</v>
      </c>
      <c r="I857" s="7" t="str">
        <f>IFERROR(__xludf.DUMMYFUNCTION("""COMPUTED_VALUE"""),"No salary data")</f>
        <v>No salary data</v>
      </c>
      <c r="J857" s="7"/>
      <c r="K857" s="7" t="str">
        <f>IFERROR(__xludf.DUMMYFUNCTION("""COMPUTED_VALUE"""),"No job type data")</f>
        <v>No job type data</v>
      </c>
      <c r="L857" s="7" t="str">
        <f>IFERROR(__xludf.DUMMYFUNCTION("""COMPUTED_VALUE"""),"3,4")</f>
        <v>3,4</v>
      </c>
      <c r="M857" s="7"/>
      <c r="N857" s="7"/>
      <c r="O857" s="7"/>
    </row>
    <row r="858">
      <c r="A858" s="29">
        <f>IFERROR(__xludf.DUMMYFUNCTION("""COMPUTED_VALUE"""),854.0)</f>
        <v>854</v>
      </c>
      <c r="B858" s="7" t="str">
        <f>IFERROR(__xludf.DUMMYFUNCTION("""COMPUTED_VALUE"""),"vor 25 Tagen")</f>
        <v>vor 25 Tagen</v>
      </c>
      <c r="C858" s="7" t="str">
        <f>IFERROR(__xludf.DUMMYFUNCTION("""COMPUTED_VALUE"""),"Fernstudium Digital Business (B.S.) m/w/d")</f>
        <v>Fernstudium Digital Business (B.S.) m/w/d</v>
      </c>
      <c r="D858" s="7" t="str">
        <f>IFERROR(__xludf.DUMMYFUNCTION("""COMPUTED_VALUE"""),"Stephanskirchen")</f>
        <v>Stephanskirchen</v>
      </c>
      <c r="E858" s="7" t="str">
        <f>IFERROR(__xludf.DUMMYFUNCTION("""COMPUTED_VALUE"""),"Marc O'Polo")</f>
        <v>Marc O'Polo</v>
      </c>
      <c r="F858" s="7" t="str">
        <f>IFERROR(__xludf.DUMMYFUNCTION("""COMPUTED_VALUE"""),"None")</f>
        <v>None</v>
      </c>
      <c r="G858" s="7" t="str">
        <f>IFERROR(__xludf.DUMMYFUNCTION("""COMPUTED_VALUE"""),"No salary data")</f>
        <v>No salary data</v>
      </c>
      <c r="H858" s="7" t="str">
        <f>IFERROR(__xludf.DUMMYFUNCTION("""COMPUTED_VALUE"""),"No salary data")</f>
        <v>No salary data</v>
      </c>
      <c r="I858" s="7" t="str">
        <f>IFERROR(__xludf.DUMMYFUNCTION("""COMPUTED_VALUE"""),"No salary data")</f>
        <v>No salary data</v>
      </c>
      <c r="J858" s="7" t="str">
        <f>IFERROR(__xludf.DUMMYFUNCTION("""COMPUTED_VALUE"""),"Git, Agile")</f>
        <v>Git, Agile</v>
      </c>
      <c r="K858" s="7" t="str">
        <f>IFERROR(__xludf.DUMMYFUNCTION("""COMPUTED_VALUE"""),"No job type data")</f>
        <v>No job type data</v>
      </c>
      <c r="L858" s="7" t="str">
        <f>IFERROR(__xludf.DUMMYFUNCTION("""COMPUTED_VALUE"""),"3,4")</f>
        <v>3,4</v>
      </c>
      <c r="M858" s="7"/>
      <c r="N858" s="7"/>
      <c r="O858" s="7"/>
    </row>
    <row r="859">
      <c r="A859" s="29">
        <f>IFERROR(__xludf.DUMMYFUNCTION("""COMPUTED_VALUE"""),855.0)</f>
        <v>855</v>
      </c>
      <c r="B859" s="7" t="str">
        <f>IFERROR(__xludf.DUMMYFUNCTION("""COMPUTED_VALUE"""),"vor 12 Tagen")</f>
        <v>vor 12 Tagen</v>
      </c>
      <c r="C859" s="7" t="str">
        <f>IFERROR(__xludf.DUMMYFUNCTION("""COMPUTED_VALUE"""),"Inhouse Consultant Pricing &amp; Projects (m/f/x)")</f>
        <v>Inhouse Consultant Pricing &amp; Projects (m/f/x)</v>
      </c>
      <c r="D859" s="7" t="str">
        <f>IFERROR(__xludf.DUMMYFUNCTION("""COMPUTED_VALUE"""),"Berlin")</f>
        <v>Berlin</v>
      </c>
      <c r="E859" s="7" t="str">
        <f>IFERROR(__xludf.DUMMYFUNCTION("""COMPUTED_VALUE"""),"ImmoScout24")</f>
        <v>ImmoScout24</v>
      </c>
      <c r="F859" s="7" t="str">
        <f>IFERROR(__xludf.DUMMYFUNCTION("""COMPUTED_VALUE"""),"None")</f>
        <v>None</v>
      </c>
      <c r="G859" s="7" t="str">
        <f>IFERROR(__xludf.DUMMYFUNCTION("""COMPUTED_VALUE"""),"No salary data")</f>
        <v>No salary data</v>
      </c>
      <c r="H859" s="7" t="str">
        <f>IFERROR(__xludf.DUMMYFUNCTION("""COMPUTED_VALUE"""),"No salary data")</f>
        <v>No salary data</v>
      </c>
      <c r="I859" s="7" t="str">
        <f>IFERROR(__xludf.DUMMYFUNCTION("""COMPUTED_VALUE"""),"No salary data")</f>
        <v>No salary data</v>
      </c>
      <c r="J859" s="7" t="str">
        <f>IFERROR(__xludf.DUMMYFUNCTION("""COMPUTED_VALUE"""),"Python, SQL, Git")</f>
        <v>Python, SQL, Git</v>
      </c>
      <c r="K859" s="7" t="str">
        <f>IFERROR(__xludf.DUMMYFUNCTION("""COMPUTED_VALUE"""),"Permanent")</f>
        <v>Permanent</v>
      </c>
      <c r="L859" s="7" t="str">
        <f>IFERROR(__xludf.DUMMYFUNCTION("""COMPUTED_VALUE"""),"None")</f>
        <v>None</v>
      </c>
      <c r="M859" s="7"/>
      <c r="N859" s="7"/>
      <c r="O859" s="7"/>
    </row>
    <row r="860">
      <c r="A860" s="29">
        <f>IFERROR(__xludf.DUMMYFUNCTION("""COMPUTED_VALUE"""),856.0)</f>
        <v>856</v>
      </c>
      <c r="B860" s="7" t="str">
        <f>IFERROR(__xludf.DUMMYFUNCTION("""COMPUTED_VALUE"""),"vor 14 Tagen")</f>
        <v>vor 14 Tagen</v>
      </c>
      <c r="C860" s="7" t="str">
        <f>IFERROR(__xludf.DUMMYFUNCTION("""COMPUTED_VALUE"""),"Process Expert Data Integrity (m/w/d)")</f>
        <v>Process Expert Data Integrity (m/w/d)</v>
      </c>
      <c r="D860" s="7" t="str">
        <f>IFERROR(__xludf.DUMMYFUNCTION("""COMPUTED_VALUE"""),"Ulm")</f>
        <v>Ulm</v>
      </c>
      <c r="E860" s="7" t="str">
        <f>IFERROR(__xludf.DUMMYFUNCTION("""COMPUTED_VALUE"""),"expertum GmbH")</f>
        <v>expertum GmbH</v>
      </c>
      <c r="F860" s="7" t="str">
        <f>IFERROR(__xludf.DUMMYFUNCTION("""COMPUTED_VALUE"""),"None")</f>
        <v>None</v>
      </c>
      <c r="G860" s="7" t="str">
        <f>IFERROR(__xludf.DUMMYFUNCTION("""COMPUTED_VALUE"""),"No salary data")</f>
        <v>No salary data</v>
      </c>
      <c r="H860" s="7" t="str">
        <f>IFERROR(__xludf.DUMMYFUNCTION("""COMPUTED_VALUE"""),"No salary data")</f>
        <v>No salary data</v>
      </c>
      <c r="I860" s="7" t="str">
        <f>IFERROR(__xludf.DUMMYFUNCTION("""COMPUTED_VALUE"""),"No salary data")</f>
        <v>No salary data</v>
      </c>
      <c r="J860" s="7"/>
      <c r="K860" s="7" t="str">
        <f>IFERROR(__xludf.DUMMYFUNCTION("""COMPUTED_VALUE"""),"No job type data")</f>
        <v>No job type data</v>
      </c>
      <c r="L860" s="7" t="str">
        <f>IFERROR(__xludf.DUMMYFUNCTION("""COMPUTED_VALUE"""),"4,0")</f>
        <v>4,0</v>
      </c>
      <c r="M860" s="7"/>
      <c r="N860" s="7"/>
      <c r="O860" s="7"/>
    </row>
    <row r="861">
      <c r="A861" s="29">
        <f>IFERROR(__xludf.DUMMYFUNCTION("""COMPUTED_VALUE"""),857.0)</f>
        <v>857</v>
      </c>
      <c r="B861" s="7" t="str">
        <f>IFERROR(__xludf.DUMMYFUNCTION("""COMPUTED_VALUE"""),"Vor mehr als 30 Tagen")</f>
        <v>Vor mehr als 30 Tagen</v>
      </c>
      <c r="C861" s="7" t="str">
        <f>IFERROR(__xludf.DUMMYFUNCTION("""COMPUTED_VALUE"""),"Data Analyst (M/W/D)")</f>
        <v>Data Analyst (M/W/D)</v>
      </c>
      <c r="D861" s="7" t="str">
        <f>IFERROR(__xludf.DUMMYFUNCTION("""COMPUTED_VALUE"""),"München")</f>
        <v>München</v>
      </c>
      <c r="E861" s="7" t="str">
        <f>IFERROR(__xludf.DUMMYFUNCTION("""COMPUTED_VALUE"""),"Condé Nast Germany GmbH")</f>
        <v>Condé Nast Germany GmbH</v>
      </c>
      <c r="F861" s="7" t="str">
        <f>IFERROR(__xludf.DUMMYFUNCTION("""COMPUTED_VALUE"""),"None")</f>
        <v>None</v>
      </c>
      <c r="G861" s="7" t="str">
        <f>IFERROR(__xludf.DUMMYFUNCTION("""COMPUTED_VALUE"""),"No salary data")</f>
        <v>No salary data</v>
      </c>
      <c r="H861" s="7" t="str">
        <f>IFERROR(__xludf.DUMMYFUNCTION("""COMPUTED_VALUE"""),"No salary data")</f>
        <v>No salary data</v>
      </c>
      <c r="I861" s="7" t="str">
        <f>IFERROR(__xludf.DUMMYFUNCTION("""COMPUTED_VALUE"""),"No salary data")</f>
        <v>No salary data</v>
      </c>
      <c r="J861" s="7" t="str">
        <f>IFERROR(__xludf.DUMMYFUNCTION("""COMPUTED_VALUE"""),"Python, SQL, Google Sheets, Machine Learning")</f>
        <v>Python, SQL, Google Sheets, Machine Learning</v>
      </c>
      <c r="K861" s="7" t="str">
        <f>IFERROR(__xludf.DUMMYFUNCTION("""COMPUTED_VALUE"""),"Permanent")</f>
        <v>Permanent</v>
      </c>
      <c r="L861" s="7" t="str">
        <f>IFERROR(__xludf.DUMMYFUNCTION("""COMPUTED_VALUE"""),"None")</f>
        <v>None</v>
      </c>
      <c r="M861" s="7"/>
      <c r="N861" s="7"/>
      <c r="O861" s="7"/>
    </row>
    <row r="862">
      <c r="A862" s="29">
        <f>IFERROR(__xludf.DUMMYFUNCTION("""COMPUTED_VALUE"""),858.0)</f>
        <v>858</v>
      </c>
      <c r="B862" s="7" t="str">
        <f>IFERROR(__xludf.DUMMYFUNCTION("""COMPUTED_VALUE"""),"Vor mehr als 30 Tagen")</f>
        <v>Vor mehr als 30 Tagen</v>
      </c>
      <c r="C862" s="7" t="str">
        <f>IFERROR(__xludf.DUMMYFUNCTION("""COMPUTED_VALUE"""),"Sr. Digital Marketing Analyst (m/w/d)")</f>
        <v>Sr. Digital Marketing Analyst (m/w/d)</v>
      </c>
      <c r="D862" s="7" t="str">
        <f>IFERROR(__xludf.DUMMYFUNCTION("""COMPUTED_VALUE"""),"Karlsruhe")</f>
        <v>Karlsruhe</v>
      </c>
      <c r="E862" s="7" t="str">
        <f>IFERROR(__xludf.DUMMYFUNCTION("""COMPUTED_VALUE"""),"Connexity")</f>
        <v>Connexity</v>
      </c>
      <c r="F862" s="7" t="str">
        <f>IFERROR(__xludf.DUMMYFUNCTION("""COMPUTED_VALUE"""),"65,000 € - 85,000 € pro Jahr")</f>
        <v>65,000 € - 85,000 € pro Jahr</v>
      </c>
      <c r="G862" s="7">
        <f>IFERROR(__xludf.DUMMYFUNCTION("""COMPUTED_VALUE"""),75000.0)</f>
        <v>75000</v>
      </c>
      <c r="H862" s="7" t="str">
        <f>IFERROR(__xludf.DUMMYFUNCTION("""COMPUTED_VALUE"""),"Jahr")</f>
        <v>Jahr</v>
      </c>
      <c r="I862" s="7">
        <f>IFERROR(__xludf.DUMMYFUNCTION("""COMPUTED_VALUE"""),75000.0)</f>
        <v>75000</v>
      </c>
      <c r="J862" s="7" t="str">
        <f>IFERROR(__xludf.DUMMYFUNCTION("""COMPUTED_VALUE"""),"Python, SQL, Excel, Statistic, Git")</f>
        <v>Python, SQL, Excel, Statistic, Git</v>
      </c>
      <c r="K862" s="7" t="str">
        <f>IFERROR(__xludf.DUMMYFUNCTION("""COMPUTED_VALUE"""),"No job type data")</f>
        <v>No job type data</v>
      </c>
      <c r="L862" s="7" t="str">
        <f>IFERROR(__xludf.DUMMYFUNCTION("""COMPUTED_VALUE"""),"None")</f>
        <v>None</v>
      </c>
      <c r="M862" s="7"/>
      <c r="N862" s="7"/>
      <c r="O862" s="7"/>
    </row>
    <row r="863">
      <c r="A863" s="29">
        <f>IFERROR(__xludf.DUMMYFUNCTION("""COMPUTED_VALUE"""),859.0)</f>
        <v>859</v>
      </c>
      <c r="B863" s="7" t="str">
        <f>IFERROR(__xludf.DUMMYFUNCTION("""COMPUTED_VALUE"""),"Vor mehr als 30 Tagen")</f>
        <v>Vor mehr als 30 Tagen</v>
      </c>
      <c r="C863" s="7" t="str">
        <f>IFERROR(__xludf.DUMMYFUNCTION("""COMPUTED_VALUE"""),"Student (m/w/d) DHBW-Studium Informatik - Studienrichtung: C...")</f>
        <v>Student (m/w/d) DHBW-Studium Informatik - Studienrichtung: C...</v>
      </c>
      <c r="D863" s="7" t="str">
        <f>IFERROR(__xludf.DUMMYFUNCTION("""COMPUTED_VALUE"""),"Gerlingen")</f>
        <v>Gerlingen</v>
      </c>
      <c r="E863" s="7" t="str">
        <f>IFERROR(__xludf.DUMMYFUNCTION("""COMPUTED_VALUE"""),"Endress+Hauser")</f>
        <v>Endress+Hauser</v>
      </c>
      <c r="F863" s="7" t="str">
        <f>IFERROR(__xludf.DUMMYFUNCTION("""COMPUTED_VALUE"""),"None")</f>
        <v>None</v>
      </c>
      <c r="G863" s="7" t="str">
        <f>IFERROR(__xludf.DUMMYFUNCTION("""COMPUTED_VALUE"""),"No salary data")</f>
        <v>No salary data</v>
      </c>
      <c r="H863" s="7" t="str">
        <f>IFERROR(__xludf.DUMMYFUNCTION("""COMPUTED_VALUE"""),"No salary data")</f>
        <v>No salary data</v>
      </c>
      <c r="I863" s="7" t="str">
        <f>IFERROR(__xludf.DUMMYFUNCTION("""COMPUTED_VALUE"""),"No salary data")</f>
        <v>No salary data</v>
      </c>
      <c r="J863" s="7" t="str">
        <f>IFERROR(__xludf.DUMMYFUNCTION("""COMPUTED_VALUE"""),"Machine Learning")</f>
        <v>Machine Learning</v>
      </c>
      <c r="K863" s="7" t="str">
        <f>IFERROR(__xludf.DUMMYFUNCTION("""COMPUTED_VALUE"""),"No job type data")</f>
        <v>No job type data</v>
      </c>
      <c r="L863" s="7" t="str">
        <f>IFERROR(__xludf.DUMMYFUNCTION("""COMPUTED_VALUE"""),"3,9")</f>
        <v>3,9</v>
      </c>
      <c r="M863" s="7"/>
      <c r="N863" s="7"/>
      <c r="O863" s="7"/>
    </row>
    <row r="864">
      <c r="A864" s="29">
        <f>IFERROR(__xludf.DUMMYFUNCTION("""COMPUTED_VALUE"""),860.0)</f>
        <v>860</v>
      </c>
      <c r="B864" s="7" t="str">
        <f>IFERROR(__xludf.DUMMYFUNCTION("""COMPUTED_VALUE"""),"vor 18 Tagen")</f>
        <v>vor 18 Tagen</v>
      </c>
      <c r="C864" s="7" t="str">
        <f>IFERROR(__xludf.DUMMYFUNCTION("""COMPUTED_VALUE"""),"Data Analyst (m/w/d)")</f>
        <v>Data Analyst (m/w/d)</v>
      </c>
      <c r="D864" s="7" t="str">
        <f>IFERROR(__xludf.DUMMYFUNCTION("""COMPUTED_VALUE"""),"Hamburg")</f>
        <v>Hamburg</v>
      </c>
      <c r="E864" s="7" t="str">
        <f>IFERROR(__xludf.DUMMYFUNCTION("""COMPUTED_VALUE"""),"FERCHAU")</f>
        <v>FERCHAU</v>
      </c>
      <c r="F864" s="7" t="str">
        <f>IFERROR(__xludf.DUMMYFUNCTION("""COMPUTED_VALUE"""),"None")</f>
        <v>None</v>
      </c>
      <c r="G864" s="7" t="str">
        <f>IFERROR(__xludf.DUMMYFUNCTION("""COMPUTED_VALUE"""),"No salary data")</f>
        <v>No salary data</v>
      </c>
      <c r="H864" s="7" t="str">
        <f>IFERROR(__xludf.DUMMYFUNCTION("""COMPUTED_VALUE"""),"No salary data")</f>
        <v>No salary data</v>
      </c>
      <c r="I864" s="7" t="str">
        <f>IFERROR(__xludf.DUMMYFUNCTION("""COMPUTED_VALUE"""),"No salary data")</f>
        <v>No salary data</v>
      </c>
      <c r="J864" s="7" t="str">
        <f>IFERROR(__xludf.DUMMYFUNCTION("""COMPUTED_VALUE"""),"Jira")</f>
        <v>Jira</v>
      </c>
      <c r="K864" s="7" t="str">
        <f>IFERROR(__xludf.DUMMYFUNCTION("""COMPUTED_VALUE"""),"No job type data")</f>
        <v>No job type data</v>
      </c>
      <c r="L864" s="7" t="str">
        <f>IFERROR(__xludf.DUMMYFUNCTION("""COMPUTED_VALUE"""),"3,4")</f>
        <v>3,4</v>
      </c>
      <c r="M864" s="7"/>
      <c r="N864" s="7"/>
      <c r="O864" s="7"/>
    </row>
    <row r="865">
      <c r="A865" s="29">
        <f>IFERROR(__xludf.DUMMYFUNCTION("""COMPUTED_VALUE"""),861.0)</f>
        <v>861</v>
      </c>
      <c r="B865" s="7" t="str">
        <f>IFERROR(__xludf.DUMMYFUNCTION("""COMPUTED_VALUE"""),"Vor mehr als 30 Tagen")</f>
        <v>Vor mehr als 30 Tagen</v>
      </c>
      <c r="C865" s="7" t="str">
        <f>IFERROR(__xludf.DUMMYFUNCTION("""COMPUTED_VALUE"""),"Data Scientist Supply Chain Management (m/w/x) in Mülheim an...")</f>
        <v>Data Scientist Supply Chain Management (m/w/x) in Mülheim an...</v>
      </c>
      <c r="D865" s="7" t="str">
        <f>IFERROR(__xludf.DUMMYFUNCTION("""COMPUTED_VALUE"""),"Deutschland")</f>
        <v>Deutschland</v>
      </c>
      <c r="E865" s="7" t="str">
        <f>IFERROR(__xludf.DUMMYFUNCTION("""COMPUTED_VALUE"""),"ALDI SÜD Dienstleistungs-GmbH &amp; Co. oHG")</f>
        <v>ALDI SÜD Dienstleistungs-GmbH &amp; Co. oHG</v>
      </c>
      <c r="F865" s="7" t="str">
        <f>IFERROR(__xludf.DUMMYFUNCTION("""COMPUTED_VALUE"""),"None")</f>
        <v>None</v>
      </c>
      <c r="G865" s="7" t="str">
        <f>IFERROR(__xludf.DUMMYFUNCTION("""COMPUTED_VALUE"""),"No salary data")</f>
        <v>No salary data</v>
      </c>
      <c r="H865" s="7" t="str">
        <f>IFERROR(__xludf.DUMMYFUNCTION("""COMPUTED_VALUE"""),"No salary data")</f>
        <v>No salary data</v>
      </c>
      <c r="I865" s="7" t="str">
        <f>IFERROR(__xludf.DUMMYFUNCTION("""COMPUTED_VALUE"""),"No salary data")</f>
        <v>No salary data</v>
      </c>
      <c r="J865" s="7" t="str">
        <f>IFERROR(__xludf.DUMMYFUNCTION("""COMPUTED_VALUE"""),"Python, SQL, Excel")</f>
        <v>Python, SQL, Excel</v>
      </c>
      <c r="K865" s="7" t="str">
        <f>IFERROR(__xludf.DUMMYFUNCTION("""COMPUTED_VALUE"""),"No job type data")</f>
        <v>No job type data</v>
      </c>
      <c r="L865" s="7" t="str">
        <f>IFERROR(__xludf.DUMMYFUNCTION("""COMPUTED_VALUE"""),"3,4")</f>
        <v>3,4</v>
      </c>
      <c r="M865" s="7"/>
      <c r="N865" s="7"/>
      <c r="O865" s="7"/>
    </row>
    <row r="866">
      <c r="A866" s="29">
        <f>IFERROR(__xludf.DUMMYFUNCTION("""COMPUTED_VALUE"""),862.0)</f>
        <v>862</v>
      </c>
      <c r="B866" s="7" t="str">
        <f>IFERROR(__xludf.DUMMYFUNCTION("""COMPUTED_VALUE"""),"Vor mehr als 30 Tagen")</f>
        <v>Vor mehr als 30 Tagen</v>
      </c>
      <c r="C866" s="7" t="str">
        <f>IFERROR(__xludf.DUMMYFUNCTION("""COMPUTED_VALUE"""),"Spezialist (m/w/d) Big Data/Datenanalyse")</f>
        <v>Spezialist (m/w/d) Big Data/Datenanalyse</v>
      </c>
      <c r="D866" s="7" t="str">
        <f>IFERROR(__xludf.DUMMYFUNCTION("""COMPUTED_VALUE"""),"Stuttgart")</f>
        <v>Stuttgart</v>
      </c>
      <c r="E866" s="7" t="str">
        <f>IFERROR(__xludf.DUMMYFUNCTION("""COMPUTED_VALUE"""),"FERCHAU")</f>
        <v>FERCHAU</v>
      </c>
      <c r="F866" s="7" t="str">
        <f>IFERROR(__xludf.DUMMYFUNCTION("""COMPUTED_VALUE"""),"None")</f>
        <v>None</v>
      </c>
      <c r="G866" s="7" t="str">
        <f>IFERROR(__xludf.DUMMYFUNCTION("""COMPUTED_VALUE"""),"No salary data")</f>
        <v>No salary data</v>
      </c>
      <c r="H866" s="7" t="str">
        <f>IFERROR(__xludf.DUMMYFUNCTION("""COMPUTED_VALUE"""),"No salary data")</f>
        <v>No salary data</v>
      </c>
      <c r="I866" s="7" t="str">
        <f>IFERROR(__xludf.DUMMYFUNCTION("""COMPUTED_VALUE"""),"No salary data")</f>
        <v>No salary data</v>
      </c>
      <c r="J866" s="7" t="str">
        <f>IFERROR(__xludf.DUMMYFUNCTION("""COMPUTED_VALUE"""),"Git")</f>
        <v>Git</v>
      </c>
      <c r="K866" s="7" t="str">
        <f>IFERROR(__xludf.DUMMYFUNCTION("""COMPUTED_VALUE"""),"No job type data")</f>
        <v>No job type data</v>
      </c>
      <c r="L866" s="7" t="str">
        <f>IFERROR(__xludf.DUMMYFUNCTION("""COMPUTED_VALUE"""),"3,4")</f>
        <v>3,4</v>
      </c>
      <c r="M866" s="7"/>
      <c r="N866" s="7"/>
      <c r="O866" s="7"/>
    </row>
    <row r="867">
      <c r="A867" s="29">
        <f>IFERROR(__xludf.DUMMYFUNCTION("""COMPUTED_VALUE"""),863.0)</f>
        <v>863</v>
      </c>
      <c r="B867" s="7" t="str">
        <f>IFERROR(__xludf.DUMMYFUNCTION("""COMPUTED_VALUE"""),"vor 2 Tagen")</f>
        <v>vor 2 Tagen</v>
      </c>
      <c r="C867" s="7" t="str">
        <f>IFERROR(__xludf.DUMMYFUNCTION("""COMPUTED_VALUE"""),"(Senior) Data Engineer (w/m/d)")</f>
        <v>(Senior) Data Engineer (w/m/d)</v>
      </c>
      <c r="D867" s="7" t="str">
        <f>IFERROR(__xludf.DUMMYFUNCTION("""COMPUTED_VALUE"""),"Frankfurt am Main")</f>
        <v>Frankfurt am Main</v>
      </c>
      <c r="E867" s="7" t="str">
        <f>IFERROR(__xludf.DUMMYFUNCTION("""COMPUTED_VALUE"""),"Deutsche Bahn")</f>
        <v>Deutsche Bahn</v>
      </c>
      <c r="F867" s="7" t="str">
        <f>IFERROR(__xludf.DUMMYFUNCTION("""COMPUTED_VALUE"""),"None")</f>
        <v>None</v>
      </c>
      <c r="G867" s="7" t="str">
        <f>IFERROR(__xludf.DUMMYFUNCTION("""COMPUTED_VALUE"""),"No salary data")</f>
        <v>No salary data</v>
      </c>
      <c r="H867" s="7" t="str">
        <f>IFERROR(__xludf.DUMMYFUNCTION("""COMPUTED_VALUE"""),"No salary data")</f>
        <v>No salary data</v>
      </c>
      <c r="I867" s="7" t="str">
        <f>IFERROR(__xludf.DUMMYFUNCTION("""COMPUTED_VALUE"""),"No salary data")</f>
        <v>No salary data</v>
      </c>
      <c r="J867" s="7" t="str">
        <f>IFERROR(__xludf.DUMMYFUNCTION("""COMPUTED_VALUE"""),"Git, Agile")</f>
        <v>Git, Agile</v>
      </c>
      <c r="K867" s="7" t="str">
        <f>IFERROR(__xludf.DUMMYFUNCTION("""COMPUTED_VALUE"""),"No job type data")</f>
        <v>No job type data</v>
      </c>
      <c r="L867" s="7" t="str">
        <f>IFERROR(__xludf.DUMMYFUNCTION("""COMPUTED_VALUE"""),"3,5")</f>
        <v>3,5</v>
      </c>
      <c r="M867" s="7"/>
      <c r="N867" s="7"/>
      <c r="O867" s="7"/>
    </row>
    <row r="868">
      <c r="A868" s="29">
        <f>IFERROR(__xludf.DUMMYFUNCTION("""COMPUTED_VALUE"""),864.0)</f>
        <v>864</v>
      </c>
      <c r="B868" s="7" t="str">
        <f>IFERROR(__xludf.DUMMYFUNCTION("""COMPUTED_VALUE"""),"Vor mehr als 30 Tagen")</f>
        <v>Vor mehr als 30 Tagen</v>
      </c>
      <c r="C868" s="7" t="str">
        <f>IFERROR(__xludf.DUMMYFUNCTION("""COMPUTED_VALUE"""),"Database Developer/ Data-Analyst (m/w/d)")</f>
        <v>Database Developer/ Data-Analyst (m/w/d)</v>
      </c>
      <c r="D868" s="7" t="str">
        <f>IFERROR(__xludf.DUMMYFUNCTION("""COMPUTED_VALUE"""),"Koblenz")</f>
        <v>Koblenz</v>
      </c>
      <c r="E868" s="7" t="str">
        <f>IFERROR(__xludf.DUMMYFUNCTION("""COMPUTED_VALUE"""),"FERCHAU")</f>
        <v>FERCHAU</v>
      </c>
      <c r="F868" s="7" t="str">
        <f>IFERROR(__xludf.DUMMYFUNCTION("""COMPUTED_VALUE"""),"None")</f>
        <v>None</v>
      </c>
      <c r="G868" s="7" t="str">
        <f>IFERROR(__xludf.DUMMYFUNCTION("""COMPUTED_VALUE"""),"No salary data")</f>
        <v>No salary data</v>
      </c>
      <c r="H868" s="7" t="str">
        <f>IFERROR(__xludf.DUMMYFUNCTION("""COMPUTED_VALUE"""),"No salary data")</f>
        <v>No salary data</v>
      </c>
      <c r="I868" s="7" t="str">
        <f>IFERROR(__xludf.DUMMYFUNCTION("""COMPUTED_VALUE"""),"No salary data")</f>
        <v>No salary data</v>
      </c>
      <c r="J868" s="7" t="str">
        <f>IFERROR(__xludf.DUMMYFUNCTION("""COMPUTED_VALUE"""),"SQL")</f>
        <v>SQL</v>
      </c>
      <c r="K868" s="7" t="str">
        <f>IFERROR(__xludf.DUMMYFUNCTION("""COMPUTED_VALUE"""),"No job type data")</f>
        <v>No job type data</v>
      </c>
      <c r="L868" s="7" t="str">
        <f>IFERROR(__xludf.DUMMYFUNCTION("""COMPUTED_VALUE"""),"3,4")</f>
        <v>3,4</v>
      </c>
      <c r="M868" s="7"/>
      <c r="N868" s="7"/>
      <c r="O868" s="7"/>
    </row>
    <row r="869">
      <c r="A869" s="29">
        <f>IFERROR(__xludf.DUMMYFUNCTION("""COMPUTED_VALUE"""),865.0)</f>
        <v>865</v>
      </c>
      <c r="B869" s="7" t="str">
        <f>IFERROR(__xludf.DUMMYFUNCTION("""COMPUTED_VALUE"""),"vor 11 Tagen")</f>
        <v>vor 11 Tagen</v>
      </c>
      <c r="C869" s="7" t="str">
        <f>IFERROR(__xludf.DUMMYFUNCTION("""COMPUTED_VALUE"""),"Operation Analyst (m/f/d)")</f>
        <v>Operation Analyst (m/f/d)</v>
      </c>
      <c r="D869" s="7" t="str">
        <f>IFERROR(__xludf.DUMMYFUNCTION("""COMPUTED_VALUE"""),"Düsseldorf")</f>
        <v>Düsseldorf</v>
      </c>
      <c r="E869" s="7" t="str">
        <f>IFERROR(__xludf.DUMMYFUNCTION("""COMPUTED_VALUE"""),"Orizon GmbH")</f>
        <v>Orizon GmbH</v>
      </c>
      <c r="F869" s="7" t="str">
        <f>IFERROR(__xludf.DUMMYFUNCTION("""COMPUTED_VALUE"""),"None")</f>
        <v>None</v>
      </c>
      <c r="G869" s="7" t="str">
        <f>IFERROR(__xludf.DUMMYFUNCTION("""COMPUTED_VALUE"""),"No salary data")</f>
        <v>No salary data</v>
      </c>
      <c r="H869" s="7" t="str">
        <f>IFERROR(__xludf.DUMMYFUNCTION("""COMPUTED_VALUE"""),"No salary data")</f>
        <v>No salary data</v>
      </c>
      <c r="I869" s="7" t="str">
        <f>IFERROR(__xludf.DUMMYFUNCTION("""COMPUTED_VALUE"""),"No salary data")</f>
        <v>No salary data</v>
      </c>
      <c r="J869" s="7" t="str">
        <f>IFERROR(__xludf.DUMMYFUNCTION("""COMPUTED_VALUE"""),"Excel")</f>
        <v>Excel</v>
      </c>
      <c r="K869" s="7" t="str">
        <f>IFERROR(__xludf.DUMMYFUNCTION("""COMPUTED_VALUE"""),"Temporary")</f>
        <v>Temporary</v>
      </c>
      <c r="L869" s="7" t="str">
        <f>IFERROR(__xludf.DUMMYFUNCTION("""COMPUTED_VALUE"""),"3,3")</f>
        <v>3,3</v>
      </c>
      <c r="M869" s="7"/>
      <c r="N869" s="7"/>
      <c r="O869" s="7"/>
    </row>
    <row r="870">
      <c r="A870" s="29">
        <f>IFERROR(__xludf.DUMMYFUNCTION("""COMPUTED_VALUE"""),866.0)</f>
        <v>866</v>
      </c>
      <c r="B870" s="7" t="str">
        <f>IFERROR(__xludf.DUMMYFUNCTION("""COMPUTED_VALUE"""),"Vor mehr als 30 Tagen")</f>
        <v>Vor mehr als 30 Tagen</v>
      </c>
      <c r="C870" s="7" t="str">
        <f>IFERROR(__xludf.DUMMYFUNCTION("""COMPUTED_VALUE"""),"Data Engineer (m/w/d)")</f>
        <v>Data Engineer (m/w/d)</v>
      </c>
      <c r="D870" s="7" t="str">
        <f>IFERROR(__xludf.DUMMYFUNCTION("""COMPUTED_VALUE"""),"Offenburg")</f>
        <v>Offenburg</v>
      </c>
      <c r="E870" s="7" t="str">
        <f>IFERROR(__xludf.DUMMYFUNCTION("""COMPUTED_VALUE"""),"Campusjäger GmbH")</f>
        <v>Campusjäger GmbH</v>
      </c>
      <c r="F870" s="7" t="str">
        <f>IFERROR(__xludf.DUMMYFUNCTION("""COMPUTED_VALUE"""),"None")</f>
        <v>None</v>
      </c>
      <c r="G870" s="7" t="str">
        <f>IFERROR(__xludf.DUMMYFUNCTION("""COMPUTED_VALUE"""),"No salary data")</f>
        <v>No salary data</v>
      </c>
      <c r="H870" s="7" t="str">
        <f>IFERROR(__xludf.DUMMYFUNCTION("""COMPUTED_VALUE"""),"No salary data")</f>
        <v>No salary data</v>
      </c>
      <c r="I870" s="7" t="str">
        <f>IFERROR(__xludf.DUMMYFUNCTION("""COMPUTED_VALUE"""),"No salary data")</f>
        <v>No salary data</v>
      </c>
      <c r="J870" s="7" t="str">
        <f>IFERROR(__xludf.DUMMYFUNCTION("""COMPUTED_VALUE"""),"Python, SQL, Agile")</f>
        <v>Python, SQL, Agile</v>
      </c>
      <c r="K870" s="7" t="str">
        <f>IFERROR(__xludf.DUMMYFUNCTION("""COMPUTED_VALUE"""),"No job type data")</f>
        <v>No job type data</v>
      </c>
      <c r="L870" s="7" t="str">
        <f>IFERROR(__xludf.DUMMYFUNCTION("""COMPUTED_VALUE"""),"4,8")</f>
        <v>4,8</v>
      </c>
      <c r="M870" s="7"/>
      <c r="N870" s="7"/>
      <c r="O870" s="7"/>
    </row>
    <row r="871">
      <c r="A871" s="29">
        <f>IFERROR(__xludf.DUMMYFUNCTION("""COMPUTED_VALUE"""),867.0)</f>
        <v>867</v>
      </c>
      <c r="B871" s="7" t="str">
        <f>IFERROR(__xludf.DUMMYFUNCTION("""COMPUTED_VALUE"""),"Vor mehr als 30 Tagen")</f>
        <v>Vor mehr als 30 Tagen</v>
      </c>
      <c r="C871" s="7" t="str">
        <f>IFERROR(__xludf.DUMMYFUNCTION("""COMPUTED_VALUE"""),"Senior Data Scientist (w/m/d)")</f>
        <v>Senior Data Scientist (w/m/d)</v>
      </c>
      <c r="D871" s="7" t="str">
        <f>IFERROR(__xludf.DUMMYFUNCTION("""COMPUTED_VALUE"""),"Stuttgart Stuttgart-Mitte")</f>
        <v>Stuttgart Stuttgart-Mitte</v>
      </c>
      <c r="E871" s="7" t="str">
        <f>IFERROR(__xludf.DUMMYFUNCTION("""COMPUTED_VALUE"""),"Mädchenflohmarkt.de")</f>
        <v>Mädchenflohmarkt.de</v>
      </c>
      <c r="F871" s="7" t="str">
        <f>IFERROR(__xludf.DUMMYFUNCTION("""COMPUTED_VALUE"""),"None")</f>
        <v>None</v>
      </c>
      <c r="G871" s="7" t="str">
        <f>IFERROR(__xludf.DUMMYFUNCTION("""COMPUTED_VALUE"""),"No salary data")</f>
        <v>No salary data</v>
      </c>
      <c r="H871" s="7" t="str">
        <f>IFERROR(__xludf.DUMMYFUNCTION("""COMPUTED_VALUE"""),"No salary data")</f>
        <v>No salary data</v>
      </c>
      <c r="I871" s="7" t="str">
        <f>IFERROR(__xludf.DUMMYFUNCTION("""COMPUTED_VALUE"""),"No salary data")</f>
        <v>No salary data</v>
      </c>
      <c r="J871" s="7" t="str">
        <f>IFERROR(__xludf.DUMMYFUNCTION("""COMPUTED_VALUE"""),"Python, Machine Learning")</f>
        <v>Python, Machine Learning</v>
      </c>
      <c r="K871" s="7" t="str">
        <f>IFERROR(__xludf.DUMMYFUNCTION("""COMPUTED_VALUE"""),"No job type data")</f>
        <v>No job type data</v>
      </c>
      <c r="L871" s="7" t="str">
        <f>IFERROR(__xludf.DUMMYFUNCTION("""COMPUTED_VALUE"""),"None")</f>
        <v>None</v>
      </c>
      <c r="M871" s="7"/>
      <c r="N871" s="7"/>
      <c r="O871" s="7"/>
    </row>
    <row r="872">
      <c r="A872" s="29">
        <f>IFERROR(__xludf.DUMMYFUNCTION("""COMPUTED_VALUE"""),868.0)</f>
        <v>868</v>
      </c>
      <c r="B872" s="7" t="str">
        <f>IFERROR(__xludf.DUMMYFUNCTION("""COMPUTED_VALUE"""),"Vor mehr als 30 Tagen")</f>
        <v>Vor mehr als 30 Tagen</v>
      </c>
      <c r="C872" s="7" t="str">
        <f>IFERROR(__xludf.DUMMYFUNCTION("""COMPUTED_VALUE"""),"Senior Big Data Engineer (f/m/x)")</f>
        <v>Senior Big Data Engineer (f/m/x)</v>
      </c>
      <c r="D872" s="7" t="str">
        <f>IFERROR(__xludf.DUMMYFUNCTION("""COMPUTED_VALUE"""),"Deutschland")</f>
        <v>Deutschland</v>
      </c>
      <c r="E872" s="7" t="str">
        <f>IFERROR(__xludf.DUMMYFUNCTION("""COMPUTED_VALUE"""),"Avira Operations GmbH &amp; Co. KG")</f>
        <v>Avira Operations GmbH &amp; Co. KG</v>
      </c>
      <c r="F872" s="7" t="str">
        <f>IFERROR(__xludf.DUMMYFUNCTION("""COMPUTED_VALUE"""),"None")</f>
        <v>None</v>
      </c>
      <c r="G872" s="7" t="str">
        <f>IFERROR(__xludf.DUMMYFUNCTION("""COMPUTED_VALUE"""),"No salary data")</f>
        <v>No salary data</v>
      </c>
      <c r="H872" s="7" t="str">
        <f>IFERROR(__xludf.DUMMYFUNCTION("""COMPUTED_VALUE"""),"No salary data")</f>
        <v>No salary data</v>
      </c>
      <c r="I872" s="7" t="str">
        <f>IFERROR(__xludf.DUMMYFUNCTION("""COMPUTED_VALUE"""),"No salary data")</f>
        <v>No salary data</v>
      </c>
      <c r="J872" s="7" t="str">
        <f>IFERROR(__xludf.DUMMYFUNCTION("""COMPUTED_VALUE"""),"Python, SQL, Excel, Git")</f>
        <v>Python, SQL, Excel, Git</v>
      </c>
      <c r="K872" s="7" t="str">
        <f>IFERROR(__xludf.DUMMYFUNCTION("""COMPUTED_VALUE"""),"No job type data")</f>
        <v>No job type data</v>
      </c>
      <c r="L872" s="7" t="str">
        <f>IFERROR(__xludf.DUMMYFUNCTION("""COMPUTED_VALUE"""),"4,3")</f>
        <v>4,3</v>
      </c>
      <c r="M872" s="7"/>
      <c r="N872" s="7"/>
      <c r="O872" s="7"/>
    </row>
    <row r="873">
      <c r="A873" s="29">
        <f>IFERROR(__xludf.DUMMYFUNCTION("""COMPUTED_VALUE"""),869.0)</f>
        <v>869</v>
      </c>
      <c r="B873" s="7" t="str">
        <f>IFERROR(__xludf.DUMMYFUNCTION("""COMPUTED_VALUE"""),"Heute")</f>
        <v>Heute</v>
      </c>
      <c r="C873" s="7" t="str">
        <f>IFERROR(__xludf.DUMMYFUNCTION("""COMPUTED_VALUE"""),"Engineer (m/w/d) Processes &amp; Product Data")</f>
        <v>Engineer (m/w/d) Processes &amp; Product Data</v>
      </c>
      <c r="D873" s="7" t="str">
        <f>IFERROR(__xludf.DUMMYFUNCTION("""COMPUTED_VALUE"""),"Manching")</f>
        <v>Manching</v>
      </c>
      <c r="E873" s="7" t="str">
        <f>IFERROR(__xludf.DUMMYFUNCTION("""COMPUTED_VALUE"""),"HESYS TechnicalSystems GmbH &amp; Co. KG")</f>
        <v>HESYS TechnicalSystems GmbH &amp; Co. KG</v>
      </c>
      <c r="F873" s="7" t="str">
        <f>IFERROR(__xludf.DUMMYFUNCTION("""COMPUTED_VALUE"""),"None")</f>
        <v>None</v>
      </c>
      <c r="G873" s="7" t="str">
        <f>IFERROR(__xludf.DUMMYFUNCTION("""COMPUTED_VALUE"""),"No salary data")</f>
        <v>No salary data</v>
      </c>
      <c r="H873" s="7" t="str">
        <f>IFERROR(__xludf.DUMMYFUNCTION("""COMPUTED_VALUE"""),"No salary data")</f>
        <v>No salary data</v>
      </c>
      <c r="I873" s="7" t="str">
        <f>IFERROR(__xludf.DUMMYFUNCTION("""COMPUTED_VALUE"""),"No salary data")</f>
        <v>No salary data</v>
      </c>
      <c r="J873" s="7"/>
      <c r="K873" s="7" t="str">
        <f>IFERROR(__xludf.DUMMYFUNCTION("""COMPUTED_VALUE"""),"No job type data")</f>
        <v>No job type data</v>
      </c>
      <c r="L873" s="7" t="str">
        <f>IFERROR(__xludf.DUMMYFUNCTION("""COMPUTED_VALUE"""),"4,3")</f>
        <v>4,3</v>
      </c>
      <c r="M873" s="7"/>
      <c r="N873" s="7"/>
      <c r="O873" s="7"/>
    </row>
    <row r="874">
      <c r="A874" s="29">
        <f>IFERROR(__xludf.DUMMYFUNCTION("""COMPUTED_VALUE"""),870.0)</f>
        <v>870</v>
      </c>
      <c r="B874" s="7" t="str">
        <f>IFERROR(__xludf.DUMMYFUNCTION("""COMPUTED_VALUE"""),"Vor mehr als 30 Tagen")</f>
        <v>Vor mehr als 30 Tagen</v>
      </c>
      <c r="C874" s="7" t="str">
        <f>IFERROR(__xludf.DUMMYFUNCTION("""COMPUTED_VALUE"""),"Associate Engineer")</f>
        <v>Associate Engineer</v>
      </c>
      <c r="D874" s="7" t="str">
        <f>IFERROR(__xludf.DUMMYFUNCTION("""COMPUTED_VALUE"""),"München")</f>
        <v>München</v>
      </c>
      <c r="E874" s="7" t="str">
        <f>IFERROR(__xludf.DUMMYFUNCTION("""COMPUTED_VALUE"""),"Bristol Myers Squibb")</f>
        <v>Bristol Myers Squibb</v>
      </c>
      <c r="F874" s="7" t="str">
        <f>IFERROR(__xludf.DUMMYFUNCTION("""COMPUTED_VALUE"""),"None")</f>
        <v>None</v>
      </c>
      <c r="G874" s="7" t="str">
        <f>IFERROR(__xludf.DUMMYFUNCTION("""COMPUTED_VALUE"""),"No salary data")</f>
        <v>No salary data</v>
      </c>
      <c r="H874" s="7" t="str">
        <f>IFERROR(__xludf.DUMMYFUNCTION("""COMPUTED_VALUE"""),"No salary data")</f>
        <v>No salary data</v>
      </c>
      <c r="I874" s="7" t="str">
        <f>IFERROR(__xludf.DUMMYFUNCTION("""COMPUTED_VALUE"""),"No salary data")</f>
        <v>No salary data</v>
      </c>
      <c r="J874" s="7"/>
      <c r="K874" s="7" t="str">
        <f>IFERROR(__xludf.DUMMYFUNCTION("""COMPUTED_VALUE"""),"No job type data")</f>
        <v>No job type data</v>
      </c>
      <c r="L874" s="7" t="str">
        <f>IFERROR(__xludf.DUMMYFUNCTION("""COMPUTED_VALUE"""),"4,2")</f>
        <v>4,2</v>
      </c>
      <c r="M874" s="7"/>
      <c r="N874" s="7"/>
      <c r="O874" s="7"/>
    </row>
    <row r="875">
      <c r="A875" s="29">
        <f>IFERROR(__xludf.DUMMYFUNCTION("""COMPUTED_VALUE"""),871.0)</f>
        <v>871</v>
      </c>
      <c r="B875" s="7" t="str">
        <f>IFERROR(__xludf.DUMMYFUNCTION("""COMPUTED_VALUE"""),"vor 9 Tagen")</f>
        <v>vor 9 Tagen</v>
      </c>
      <c r="C875" s="7" t="str">
        <f>IFERROR(__xludf.DUMMYFUNCTION("""COMPUTED_VALUE"""),"Arbeitsgebietsleiter Data Engineering &amp; Data Lake (w/m/d)")</f>
        <v>Arbeitsgebietsleiter Data Engineering &amp; Data Lake (w/m/d)</v>
      </c>
      <c r="D875" s="7" t="str">
        <f>IFERROR(__xludf.DUMMYFUNCTION("""COMPUTED_VALUE"""),"Mainz")</f>
        <v>Mainz</v>
      </c>
      <c r="E875" s="7" t="str">
        <f>IFERROR(__xludf.DUMMYFUNCTION("""COMPUTED_VALUE"""),"Deutsche Bahn")</f>
        <v>Deutsche Bahn</v>
      </c>
      <c r="F875" s="7" t="str">
        <f>IFERROR(__xludf.DUMMYFUNCTION("""COMPUTED_VALUE"""),"None")</f>
        <v>None</v>
      </c>
      <c r="G875" s="7" t="str">
        <f>IFERROR(__xludf.DUMMYFUNCTION("""COMPUTED_VALUE"""),"No salary data")</f>
        <v>No salary data</v>
      </c>
      <c r="H875" s="7" t="str">
        <f>IFERROR(__xludf.DUMMYFUNCTION("""COMPUTED_VALUE"""),"No salary data")</f>
        <v>No salary data</v>
      </c>
      <c r="I875" s="7" t="str">
        <f>IFERROR(__xludf.DUMMYFUNCTION("""COMPUTED_VALUE"""),"No salary data")</f>
        <v>No salary data</v>
      </c>
      <c r="J875" s="7" t="str">
        <f>IFERROR(__xludf.DUMMYFUNCTION("""COMPUTED_VALUE"""),"Git, Agile")</f>
        <v>Git, Agile</v>
      </c>
      <c r="K875" s="7" t="str">
        <f>IFERROR(__xludf.DUMMYFUNCTION("""COMPUTED_VALUE"""),"No job type data")</f>
        <v>No job type data</v>
      </c>
      <c r="L875" s="7" t="str">
        <f>IFERROR(__xludf.DUMMYFUNCTION("""COMPUTED_VALUE"""),"3,5")</f>
        <v>3,5</v>
      </c>
      <c r="M875" s="7"/>
      <c r="N875" s="7"/>
      <c r="O875" s="7"/>
    </row>
    <row r="876">
      <c r="A876" s="29">
        <f>IFERROR(__xludf.DUMMYFUNCTION("""COMPUTED_VALUE"""),872.0)</f>
        <v>872</v>
      </c>
      <c r="B876" s="7" t="str">
        <f>IFERROR(__xludf.DUMMYFUNCTION("""COMPUTED_VALUE"""),"vor 7 Tagen")</f>
        <v>vor 7 Tagen</v>
      </c>
      <c r="C876" s="7" t="str">
        <f>IFERROR(__xludf.DUMMYFUNCTION("""COMPUTED_VALUE"""),"Data Scientist")</f>
        <v>Data Scientist</v>
      </c>
      <c r="D876" s="7" t="str">
        <f>IFERROR(__xludf.DUMMYFUNCTION("""COMPUTED_VALUE"""),"München")</f>
        <v>München</v>
      </c>
      <c r="E876" s="7" t="str">
        <f>IFERROR(__xludf.DUMMYFUNCTION("""COMPUTED_VALUE"""),"Who Needs Engineers")</f>
        <v>Who Needs Engineers</v>
      </c>
      <c r="F876" s="7" t="str">
        <f>IFERROR(__xludf.DUMMYFUNCTION("""COMPUTED_VALUE"""),"65,000 € - 85,000 € pro Jahr")</f>
        <v>65,000 € - 85,000 € pro Jahr</v>
      </c>
      <c r="G876" s="7">
        <f>IFERROR(__xludf.DUMMYFUNCTION("""COMPUTED_VALUE"""),75000.0)</f>
        <v>75000</v>
      </c>
      <c r="H876" s="7" t="str">
        <f>IFERROR(__xludf.DUMMYFUNCTION("""COMPUTED_VALUE"""),"Jahr")</f>
        <v>Jahr</v>
      </c>
      <c r="I876" s="7">
        <f>IFERROR(__xludf.DUMMYFUNCTION("""COMPUTED_VALUE"""),75000.0)</f>
        <v>75000</v>
      </c>
      <c r="J876" s="7" t="str">
        <f>IFERROR(__xludf.DUMMYFUNCTION("""COMPUTED_VALUE"""),"Python, Machine Learning, Statistic")</f>
        <v>Python, Machine Learning, Statistic</v>
      </c>
      <c r="K876" s="7" t="str">
        <f>IFERROR(__xludf.DUMMYFUNCTION("""COMPUTED_VALUE"""),"Permanent")</f>
        <v>Permanent</v>
      </c>
      <c r="L876" s="7" t="str">
        <f>IFERROR(__xludf.DUMMYFUNCTION("""COMPUTED_VALUE"""),"None")</f>
        <v>None</v>
      </c>
      <c r="M876" s="7"/>
      <c r="N876" s="7"/>
      <c r="O876" s="7"/>
    </row>
    <row r="877">
      <c r="A877" s="29">
        <f>IFERROR(__xludf.DUMMYFUNCTION("""COMPUTED_VALUE"""),873.0)</f>
        <v>873</v>
      </c>
      <c r="B877" s="7" t="str">
        <f>IFERROR(__xludf.DUMMYFUNCTION("""COMPUTED_VALUE"""),"vor 17 Tagen")</f>
        <v>vor 17 Tagen</v>
      </c>
      <c r="C877" s="7" t="str">
        <f>IFERROR(__xludf.DUMMYFUNCTION("""COMPUTED_VALUE"""),"Administrative Assistant Data Integrity (m/w/d)")</f>
        <v>Administrative Assistant Data Integrity (m/w/d)</v>
      </c>
      <c r="D877" s="7" t="str">
        <f>IFERROR(__xludf.DUMMYFUNCTION("""COMPUTED_VALUE"""),"Leverkusen")</f>
        <v>Leverkusen</v>
      </c>
      <c r="E877" s="7" t="str">
        <f>IFERROR(__xludf.DUMMYFUNCTION("""COMPUTED_VALUE"""),"Kelly Services GmbH")</f>
        <v>Kelly Services GmbH</v>
      </c>
      <c r="F877" s="7" t="str">
        <f>IFERROR(__xludf.DUMMYFUNCTION("""COMPUTED_VALUE"""),"None")</f>
        <v>None</v>
      </c>
      <c r="G877" s="7" t="str">
        <f>IFERROR(__xludf.DUMMYFUNCTION("""COMPUTED_VALUE"""),"No salary data")</f>
        <v>No salary data</v>
      </c>
      <c r="H877" s="7" t="str">
        <f>IFERROR(__xludf.DUMMYFUNCTION("""COMPUTED_VALUE"""),"No salary data")</f>
        <v>No salary data</v>
      </c>
      <c r="I877" s="7" t="str">
        <f>IFERROR(__xludf.DUMMYFUNCTION("""COMPUTED_VALUE"""),"No salary data")</f>
        <v>No salary data</v>
      </c>
      <c r="J877" s="7"/>
      <c r="K877" s="7" t="str">
        <f>IFERROR(__xludf.DUMMYFUNCTION("""COMPUTED_VALUE"""),"No job type data")</f>
        <v>No job type data</v>
      </c>
      <c r="L877" s="7" t="str">
        <f>IFERROR(__xludf.DUMMYFUNCTION("""COMPUTED_VALUE"""),"4,2")</f>
        <v>4,2</v>
      </c>
      <c r="M877" s="7"/>
      <c r="N877" s="7"/>
      <c r="O877" s="7"/>
    </row>
    <row r="878">
      <c r="A878" s="29">
        <f>IFERROR(__xludf.DUMMYFUNCTION("""COMPUTED_VALUE"""),874.0)</f>
        <v>874</v>
      </c>
      <c r="B878" s="7" t="str">
        <f>IFERROR(__xludf.DUMMYFUNCTION("""COMPUTED_VALUE"""),"Vor mehr als 30 Tagen")</f>
        <v>Vor mehr als 30 Tagen</v>
      </c>
      <c r="C878" s="7" t="str">
        <f>IFERROR(__xludf.DUMMYFUNCTION("""COMPUTED_VALUE"""),"Data Scientist/Analyst (m/w/d) Big Data Automotive")</f>
        <v>Data Scientist/Analyst (m/w/d) Big Data Automotive</v>
      </c>
      <c r="D878" s="7" t="str">
        <f>IFERROR(__xludf.DUMMYFUNCTION("""COMPUTED_VALUE"""),"Stuttgart")</f>
        <v>Stuttgart</v>
      </c>
      <c r="E878" s="7" t="str">
        <f>IFERROR(__xludf.DUMMYFUNCTION("""COMPUTED_VALUE"""),"FERCHAU")</f>
        <v>FERCHAU</v>
      </c>
      <c r="F878" s="7" t="str">
        <f>IFERROR(__xludf.DUMMYFUNCTION("""COMPUTED_VALUE"""),"None")</f>
        <v>None</v>
      </c>
      <c r="G878" s="7" t="str">
        <f>IFERROR(__xludf.DUMMYFUNCTION("""COMPUTED_VALUE"""),"No salary data")</f>
        <v>No salary data</v>
      </c>
      <c r="H878" s="7" t="str">
        <f>IFERROR(__xludf.DUMMYFUNCTION("""COMPUTED_VALUE"""),"No salary data")</f>
        <v>No salary data</v>
      </c>
      <c r="I878" s="7" t="str">
        <f>IFERROR(__xludf.DUMMYFUNCTION("""COMPUTED_VALUE"""),"No salary data")</f>
        <v>No salary data</v>
      </c>
      <c r="J878" s="7" t="str">
        <f>IFERROR(__xludf.DUMMYFUNCTION("""COMPUTED_VALUE"""),"Python, Machine Learning, Agile, Scrum")</f>
        <v>Python, Machine Learning, Agile, Scrum</v>
      </c>
      <c r="K878" s="7" t="str">
        <f>IFERROR(__xludf.DUMMYFUNCTION("""COMPUTED_VALUE"""),"No job type data")</f>
        <v>No job type data</v>
      </c>
      <c r="L878" s="7" t="str">
        <f>IFERROR(__xludf.DUMMYFUNCTION("""COMPUTED_VALUE"""),"3,4")</f>
        <v>3,4</v>
      </c>
      <c r="M878" s="7"/>
      <c r="N878" s="7"/>
      <c r="O878" s="7"/>
    </row>
    <row r="879">
      <c r="A879" s="29">
        <f>IFERROR(__xludf.DUMMYFUNCTION("""COMPUTED_VALUE"""),875.0)</f>
        <v>875</v>
      </c>
      <c r="B879" s="7" t="str">
        <f>IFERROR(__xludf.DUMMYFUNCTION("""COMPUTED_VALUE"""),"vor 18 Tagen")</f>
        <v>vor 18 Tagen</v>
      </c>
      <c r="C879" s="7" t="str">
        <f>IFERROR(__xludf.DUMMYFUNCTION("""COMPUTED_VALUE"""),"Big Data Engineer (m/w/d)")</f>
        <v>Big Data Engineer (m/w/d)</v>
      </c>
      <c r="D879" s="7" t="str">
        <f>IFERROR(__xludf.DUMMYFUNCTION("""COMPUTED_VALUE"""),"Karlsruhe")</f>
        <v>Karlsruhe</v>
      </c>
      <c r="E879" s="7" t="str">
        <f>IFERROR(__xludf.DUMMYFUNCTION("""COMPUTED_VALUE"""),"Campusjäger GmbH")</f>
        <v>Campusjäger GmbH</v>
      </c>
      <c r="F879" s="7" t="str">
        <f>IFERROR(__xludf.DUMMYFUNCTION("""COMPUTED_VALUE"""),"None")</f>
        <v>None</v>
      </c>
      <c r="G879" s="7" t="str">
        <f>IFERROR(__xludf.DUMMYFUNCTION("""COMPUTED_VALUE"""),"No salary data")</f>
        <v>No salary data</v>
      </c>
      <c r="H879" s="7" t="str">
        <f>IFERROR(__xludf.DUMMYFUNCTION("""COMPUTED_VALUE"""),"No salary data")</f>
        <v>No salary data</v>
      </c>
      <c r="I879" s="7" t="str">
        <f>IFERROR(__xludf.DUMMYFUNCTION("""COMPUTED_VALUE"""),"No salary data")</f>
        <v>No salary data</v>
      </c>
      <c r="J879" s="7" t="str">
        <f>IFERROR(__xludf.DUMMYFUNCTION("""COMPUTED_VALUE"""),"Python, SQL")</f>
        <v>Python, SQL</v>
      </c>
      <c r="K879" s="7" t="str">
        <f>IFERROR(__xludf.DUMMYFUNCTION("""COMPUTED_VALUE"""),"No job type data")</f>
        <v>No job type data</v>
      </c>
      <c r="L879" s="7" t="str">
        <f>IFERROR(__xludf.DUMMYFUNCTION("""COMPUTED_VALUE"""),"4,8")</f>
        <v>4,8</v>
      </c>
      <c r="M879" s="7"/>
      <c r="N879" s="7"/>
      <c r="O879" s="7"/>
    </row>
    <row r="880">
      <c r="A880" s="29">
        <f>IFERROR(__xludf.DUMMYFUNCTION("""COMPUTED_VALUE"""),876.0)</f>
        <v>876</v>
      </c>
      <c r="B880" s="7" t="str">
        <f>IFERROR(__xludf.DUMMYFUNCTION("""COMPUTED_VALUE"""),"Gerade geschaltet")</f>
        <v>Gerade geschaltet</v>
      </c>
      <c r="C880" s="7" t="str">
        <f>IFERROR(__xludf.DUMMYFUNCTION("""COMPUTED_VALUE"""),"(Senior) Data Analyst / Consultant - Data Science &amp; Consumer...")</f>
        <v>(Senior) Data Analyst / Consultant - Data Science &amp; Consumer...</v>
      </c>
      <c r="D880" s="7" t="str">
        <f>IFERROR(__xludf.DUMMYFUNCTION("""COMPUTED_VALUE"""),"Frankfurt am Main")</f>
        <v>Frankfurt am Main</v>
      </c>
      <c r="E880" s="7" t="str">
        <f>IFERROR(__xludf.DUMMYFUNCTION("""COMPUTED_VALUE"""),"IQVIA")</f>
        <v>IQVIA</v>
      </c>
      <c r="F880" s="7" t="str">
        <f>IFERROR(__xludf.DUMMYFUNCTION("""COMPUTED_VALUE"""),"None")</f>
        <v>None</v>
      </c>
      <c r="G880" s="7" t="str">
        <f>IFERROR(__xludf.DUMMYFUNCTION("""COMPUTED_VALUE"""),"No salary data")</f>
        <v>No salary data</v>
      </c>
      <c r="H880" s="7" t="str">
        <f>IFERROR(__xludf.DUMMYFUNCTION("""COMPUTED_VALUE"""),"No salary data")</f>
        <v>No salary data</v>
      </c>
      <c r="I880" s="7" t="str">
        <f>IFERROR(__xludf.DUMMYFUNCTION("""COMPUTED_VALUE"""),"No salary data")</f>
        <v>No salary data</v>
      </c>
      <c r="J880" s="7" t="str">
        <f>IFERROR(__xludf.DUMMYFUNCTION("""COMPUTED_VALUE"""),"Excel")</f>
        <v>Excel</v>
      </c>
      <c r="K880" s="7" t="str">
        <f>IFERROR(__xludf.DUMMYFUNCTION("""COMPUTED_VALUE"""),"No job type data")</f>
        <v>No job type data</v>
      </c>
      <c r="L880" s="7" t="str">
        <f>IFERROR(__xludf.DUMMYFUNCTION("""COMPUTED_VALUE"""),"3,8")</f>
        <v>3,8</v>
      </c>
      <c r="M880" s="7"/>
      <c r="N880" s="7"/>
      <c r="O880" s="7"/>
    </row>
    <row r="881">
      <c r="A881" s="29">
        <f>IFERROR(__xludf.DUMMYFUNCTION("""COMPUTED_VALUE"""),877.0)</f>
        <v>877</v>
      </c>
      <c r="B881" s="7" t="str">
        <f>IFERROR(__xludf.DUMMYFUNCTION("""COMPUTED_VALUE"""),"vor 20 Tagen")</f>
        <v>vor 20 Tagen</v>
      </c>
      <c r="C881" s="7" t="str">
        <f>IFERROR(__xludf.DUMMYFUNCTION("""COMPUTED_VALUE"""),"Online Marketing Trainee – Conversion Rate Optimization (m/w...")</f>
        <v>Online Marketing Trainee – Conversion Rate Optimization (m/w...</v>
      </c>
      <c r="D881" s="7" t="str">
        <f>IFERROR(__xludf.DUMMYFUNCTION("""COMPUTED_VALUE"""),"Nürnberg")</f>
        <v>Nürnberg</v>
      </c>
      <c r="E881" s="7" t="str">
        <f>IFERROR(__xludf.DUMMYFUNCTION("""COMPUTED_VALUE"""),"xeomed GmbH &amp; Co. KG")</f>
        <v>xeomed GmbH &amp; Co. KG</v>
      </c>
      <c r="F881" s="7" t="str">
        <f>IFERROR(__xludf.DUMMYFUNCTION("""COMPUTED_VALUE"""),"None")</f>
        <v>None</v>
      </c>
      <c r="G881" s="7" t="str">
        <f>IFERROR(__xludf.DUMMYFUNCTION("""COMPUTED_VALUE"""),"No salary data")</f>
        <v>No salary data</v>
      </c>
      <c r="H881" s="7" t="str">
        <f>IFERROR(__xludf.DUMMYFUNCTION("""COMPUTED_VALUE"""),"No salary data")</f>
        <v>No salary data</v>
      </c>
      <c r="I881" s="7" t="str">
        <f>IFERROR(__xludf.DUMMYFUNCTION("""COMPUTED_VALUE"""),"No salary data")</f>
        <v>No salary data</v>
      </c>
      <c r="J881" s="7" t="str">
        <f>IFERROR(__xludf.DUMMYFUNCTION("""COMPUTED_VALUE"""),"Git")</f>
        <v>Git</v>
      </c>
      <c r="K881" s="7" t="str">
        <f>IFERROR(__xludf.DUMMYFUNCTION("""COMPUTED_VALUE"""),"No job type data")</f>
        <v>No job type data</v>
      </c>
      <c r="L881" s="7" t="str">
        <f>IFERROR(__xludf.DUMMYFUNCTION("""COMPUTED_VALUE"""),"5,0")</f>
        <v>5,0</v>
      </c>
      <c r="M881" s="7"/>
      <c r="N881" s="7"/>
      <c r="O881" s="7"/>
    </row>
    <row r="882">
      <c r="A882" s="29">
        <f>IFERROR(__xludf.DUMMYFUNCTION("""COMPUTED_VALUE"""),878.0)</f>
        <v>878</v>
      </c>
      <c r="B882" s="7" t="str">
        <f>IFERROR(__xludf.DUMMYFUNCTION("""COMPUTED_VALUE"""),"Vor mehr als 30 Tagen")</f>
        <v>Vor mehr als 30 Tagen</v>
      </c>
      <c r="C882" s="7" t="str">
        <f>IFERROR(__xludf.DUMMYFUNCTION("""COMPUTED_VALUE"""),"Spezialist (m/w/d) Big Data/Datenanalyse")</f>
        <v>Spezialist (m/w/d) Big Data/Datenanalyse</v>
      </c>
      <c r="D882" s="7" t="str">
        <f>IFERROR(__xludf.DUMMYFUNCTION("""COMPUTED_VALUE"""),"Stuttgart")</f>
        <v>Stuttgart</v>
      </c>
      <c r="E882" s="7" t="str">
        <f>IFERROR(__xludf.DUMMYFUNCTION("""COMPUTED_VALUE"""),"FERCHAU")</f>
        <v>FERCHAU</v>
      </c>
      <c r="F882" s="7" t="str">
        <f>IFERROR(__xludf.DUMMYFUNCTION("""COMPUTED_VALUE"""),"None")</f>
        <v>None</v>
      </c>
      <c r="G882" s="7" t="str">
        <f>IFERROR(__xludf.DUMMYFUNCTION("""COMPUTED_VALUE"""),"No salary data")</f>
        <v>No salary data</v>
      </c>
      <c r="H882" s="7" t="str">
        <f>IFERROR(__xludf.DUMMYFUNCTION("""COMPUTED_VALUE"""),"No salary data")</f>
        <v>No salary data</v>
      </c>
      <c r="I882" s="7" t="str">
        <f>IFERROR(__xludf.DUMMYFUNCTION("""COMPUTED_VALUE"""),"No salary data")</f>
        <v>No salary data</v>
      </c>
      <c r="J882" s="7" t="str">
        <f>IFERROR(__xludf.DUMMYFUNCTION("""COMPUTED_VALUE"""),"Git")</f>
        <v>Git</v>
      </c>
      <c r="K882" s="7" t="str">
        <f>IFERROR(__xludf.DUMMYFUNCTION("""COMPUTED_VALUE"""),"No job type data")</f>
        <v>No job type data</v>
      </c>
      <c r="L882" s="7" t="str">
        <f>IFERROR(__xludf.DUMMYFUNCTION("""COMPUTED_VALUE"""),"3,4")</f>
        <v>3,4</v>
      </c>
      <c r="M882" s="7"/>
      <c r="N882" s="7"/>
      <c r="O882" s="7"/>
    </row>
    <row r="883">
      <c r="A883" s="29">
        <f>IFERROR(__xludf.DUMMYFUNCTION("""COMPUTED_VALUE"""),879.0)</f>
        <v>879</v>
      </c>
      <c r="B883" s="7" t="str">
        <f>IFERROR(__xludf.DUMMYFUNCTION("""COMPUTED_VALUE"""),"vor 17 Tagen")</f>
        <v>vor 17 Tagen</v>
      </c>
      <c r="C883" s="7" t="str">
        <f>IFERROR(__xludf.DUMMYFUNCTION("""COMPUTED_VALUE"""),"Data Scientist")</f>
        <v>Data Scientist</v>
      </c>
      <c r="D883" s="7" t="str">
        <f>IFERROR(__xludf.DUMMYFUNCTION("""COMPUTED_VALUE"""),"Osnabrück")</f>
        <v>Osnabrück</v>
      </c>
      <c r="E883" s="7" t="str">
        <f>IFERROR(__xludf.DUMMYFUNCTION("""COMPUTED_VALUE"""),"Brunel")</f>
        <v>Brunel</v>
      </c>
      <c r="F883" s="7" t="str">
        <f>IFERROR(__xludf.DUMMYFUNCTION("""COMPUTED_VALUE"""),"None")</f>
        <v>None</v>
      </c>
      <c r="G883" s="7" t="str">
        <f>IFERROR(__xludf.DUMMYFUNCTION("""COMPUTED_VALUE"""),"No salary data")</f>
        <v>No salary data</v>
      </c>
      <c r="H883" s="7" t="str">
        <f>IFERROR(__xludf.DUMMYFUNCTION("""COMPUTED_VALUE"""),"No salary data")</f>
        <v>No salary data</v>
      </c>
      <c r="I883" s="7" t="str">
        <f>IFERROR(__xludf.DUMMYFUNCTION("""COMPUTED_VALUE"""),"No salary data")</f>
        <v>No salary data</v>
      </c>
      <c r="J883" s="7" t="str">
        <f>IFERROR(__xludf.DUMMYFUNCTION("""COMPUTED_VALUE"""),"Python, SQL")</f>
        <v>Python, SQL</v>
      </c>
      <c r="K883" s="7" t="str">
        <f>IFERROR(__xludf.DUMMYFUNCTION("""COMPUTED_VALUE"""),"No job type data")</f>
        <v>No job type data</v>
      </c>
      <c r="L883" s="7" t="str">
        <f>IFERROR(__xludf.DUMMYFUNCTION("""COMPUTED_VALUE"""),"3,9")</f>
        <v>3,9</v>
      </c>
      <c r="M883" s="7"/>
      <c r="N883" s="7"/>
      <c r="O883" s="7"/>
    </row>
    <row r="884">
      <c r="A884" s="29">
        <f>IFERROR(__xludf.DUMMYFUNCTION("""COMPUTED_VALUE"""),880.0)</f>
        <v>880</v>
      </c>
      <c r="B884" s="7" t="str">
        <f>IFERROR(__xludf.DUMMYFUNCTION("""COMPUTED_VALUE"""),"vor 5 Tagen")</f>
        <v>vor 5 Tagen</v>
      </c>
      <c r="C884" s="7" t="str">
        <f>IFERROR(__xludf.DUMMYFUNCTION("""COMPUTED_VALUE"""),"Senior Data Scientist (m/f/d) FinTech")</f>
        <v>Senior Data Scientist (m/f/d) FinTech</v>
      </c>
      <c r="D884" s="7" t="str">
        <f>IFERROR(__xludf.DUMMYFUNCTION("""COMPUTED_VALUE"""),"Berlin")</f>
        <v>Berlin</v>
      </c>
      <c r="E884" s="7" t="str">
        <f>IFERROR(__xludf.DUMMYFUNCTION("""COMPUTED_VALUE"""),"Selby Jennings")</f>
        <v>Selby Jennings</v>
      </c>
      <c r="F884" s="7" t="str">
        <f>IFERROR(__xludf.DUMMYFUNCTION("""COMPUTED_VALUE"""),"60,000 € - 80,000 € pro Jahr")</f>
        <v>60,000 € - 80,000 € pro Jahr</v>
      </c>
      <c r="G884" s="7">
        <f>IFERROR(__xludf.DUMMYFUNCTION("""COMPUTED_VALUE"""),70000.0)</f>
        <v>70000</v>
      </c>
      <c r="H884" s="7" t="str">
        <f>IFERROR(__xludf.DUMMYFUNCTION("""COMPUTED_VALUE"""),"Jahr")</f>
        <v>Jahr</v>
      </c>
      <c r="I884" s="7">
        <f>IFERROR(__xludf.DUMMYFUNCTION("""COMPUTED_VALUE"""),70000.0)</f>
        <v>70000</v>
      </c>
      <c r="J884" s="7" t="str">
        <f>IFERROR(__xludf.DUMMYFUNCTION("""COMPUTED_VALUE"""),"Python, SQL, Machine Learning")</f>
        <v>Python, SQL, Machine Learning</v>
      </c>
      <c r="K884" s="7" t="str">
        <f>IFERROR(__xludf.DUMMYFUNCTION("""COMPUTED_VALUE"""),"No job type data")</f>
        <v>No job type data</v>
      </c>
      <c r="L884" s="7" t="str">
        <f>IFERROR(__xludf.DUMMYFUNCTION("""COMPUTED_VALUE"""),"None")</f>
        <v>None</v>
      </c>
      <c r="M884" s="7"/>
      <c r="N884" s="7"/>
      <c r="O884" s="7"/>
    </row>
    <row r="885">
      <c r="A885" s="29">
        <f>IFERROR(__xludf.DUMMYFUNCTION("""COMPUTED_VALUE"""),881.0)</f>
        <v>881</v>
      </c>
      <c r="B885" s="7" t="str">
        <f>IFERROR(__xludf.DUMMYFUNCTION("""COMPUTED_VALUE"""),"Vor mehr als 30 Tagen")</f>
        <v>Vor mehr als 30 Tagen</v>
      </c>
      <c r="C885" s="7" t="str">
        <f>IFERROR(__xludf.DUMMYFUNCTION("""COMPUTED_VALUE"""),"Chief Data Officer / CDO (m|w|x)")</f>
        <v>Chief Data Officer / CDO (m|w|x)</v>
      </c>
      <c r="D885" s="7" t="str">
        <f>IFERROR(__xludf.DUMMYFUNCTION("""COMPUTED_VALUE"""),"Berlin")</f>
        <v>Berlin</v>
      </c>
      <c r="E885" s="7" t="str">
        <f>IFERROR(__xludf.DUMMYFUNCTION("""COMPUTED_VALUE"""),"idealo internet GmbH")</f>
        <v>idealo internet GmbH</v>
      </c>
      <c r="F885" s="7" t="str">
        <f>IFERROR(__xludf.DUMMYFUNCTION("""COMPUTED_VALUE"""),"None")</f>
        <v>None</v>
      </c>
      <c r="G885" s="7" t="str">
        <f>IFERROR(__xludf.DUMMYFUNCTION("""COMPUTED_VALUE"""),"No salary data")</f>
        <v>No salary data</v>
      </c>
      <c r="H885" s="7" t="str">
        <f>IFERROR(__xludf.DUMMYFUNCTION("""COMPUTED_VALUE"""),"No salary data")</f>
        <v>No salary data</v>
      </c>
      <c r="I885" s="7" t="str">
        <f>IFERROR(__xludf.DUMMYFUNCTION("""COMPUTED_VALUE"""),"No salary data")</f>
        <v>No salary data</v>
      </c>
      <c r="J885" s="7" t="str">
        <f>IFERROR(__xludf.DUMMYFUNCTION("""COMPUTED_VALUE"""),"Machine Learning, Agile")</f>
        <v>Machine Learning, Agile</v>
      </c>
      <c r="K885" s="7" t="str">
        <f>IFERROR(__xludf.DUMMYFUNCTION("""COMPUTED_VALUE"""),"No job type data")</f>
        <v>No job type data</v>
      </c>
      <c r="L885" s="7" t="str">
        <f>IFERROR(__xludf.DUMMYFUNCTION("""COMPUTED_VALUE"""),"4,3")</f>
        <v>4,3</v>
      </c>
      <c r="M885" s="7"/>
      <c r="N885" s="7"/>
      <c r="O885" s="7"/>
    </row>
    <row r="886">
      <c r="A886" s="29">
        <f>IFERROR(__xludf.DUMMYFUNCTION("""COMPUTED_VALUE"""),882.0)</f>
        <v>882</v>
      </c>
      <c r="B886" s="7" t="str">
        <f>IFERROR(__xludf.DUMMYFUNCTION("""COMPUTED_VALUE"""),"vor 24 Tagen")</f>
        <v>vor 24 Tagen</v>
      </c>
      <c r="C886" s="7" t="str">
        <f>IFERROR(__xludf.DUMMYFUNCTION("""COMPUTED_VALUE"""),"Senior Data Engineer Asset Intelligence Center (w/m/d)")</f>
        <v>Senior Data Engineer Asset Intelligence Center (w/m/d)</v>
      </c>
      <c r="D886" s="7" t="str">
        <f>IFERROR(__xludf.DUMMYFUNCTION("""COMPUTED_VALUE"""),"Frankfurt am Main")</f>
        <v>Frankfurt am Main</v>
      </c>
      <c r="E886" s="7" t="str">
        <f>IFERROR(__xludf.DUMMYFUNCTION("""COMPUTED_VALUE"""),"Deutsche Bahn")</f>
        <v>Deutsche Bahn</v>
      </c>
      <c r="F886" s="7" t="str">
        <f>IFERROR(__xludf.DUMMYFUNCTION("""COMPUTED_VALUE"""),"None")</f>
        <v>None</v>
      </c>
      <c r="G886" s="7" t="str">
        <f>IFERROR(__xludf.DUMMYFUNCTION("""COMPUTED_VALUE"""),"No salary data")</f>
        <v>No salary data</v>
      </c>
      <c r="H886" s="7" t="str">
        <f>IFERROR(__xludf.DUMMYFUNCTION("""COMPUTED_VALUE"""),"No salary data")</f>
        <v>No salary data</v>
      </c>
      <c r="I886" s="7" t="str">
        <f>IFERROR(__xludf.DUMMYFUNCTION("""COMPUTED_VALUE"""),"No salary data")</f>
        <v>No salary data</v>
      </c>
      <c r="J886" s="7" t="str">
        <f>IFERROR(__xludf.DUMMYFUNCTION("""COMPUTED_VALUE"""),"Python, Git, Agile")</f>
        <v>Python, Git, Agile</v>
      </c>
      <c r="K886" s="7" t="str">
        <f>IFERROR(__xludf.DUMMYFUNCTION("""COMPUTED_VALUE"""),"No job type data")</f>
        <v>No job type data</v>
      </c>
      <c r="L886" s="7" t="str">
        <f>IFERROR(__xludf.DUMMYFUNCTION("""COMPUTED_VALUE"""),"3,5")</f>
        <v>3,5</v>
      </c>
      <c r="M886" s="7"/>
      <c r="N886" s="7"/>
      <c r="O886" s="7"/>
    </row>
    <row r="887">
      <c r="A887" s="29">
        <f>IFERROR(__xludf.DUMMYFUNCTION("""COMPUTED_VALUE"""),883.0)</f>
        <v>883</v>
      </c>
      <c r="B887" s="7" t="str">
        <f>IFERROR(__xludf.DUMMYFUNCTION("""COMPUTED_VALUE"""),"Vor mehr als 30 Tagen")</f>
        <v>Vor mehr als 30 Tagen</v>
      </c>
      <c r="C887" s="7" t="str">
        <f>IFERROR(__xludf.DUMMYFUNCTION("""COMPUTED_VALUE"""),"Projektmanager Business Intelligence/Data Warehouse (m/w/d)")</f>
        <v>Projektmanager Business Intelligence/Data Warehouse (m/w/d)</v>
      </c>
      <c r="D887" s="7" t="str">
        <f>IFERROR(__xludf.DUMMYFUNCTION("""COMPUTED_VALUE"""),"Dresden")</f>
        <v>Dresden</v>
      </c>
      <c r="E887" s="7" t="str">
        <f>IFERROR(__xludf.DUMMYFUNCTION("""COMPUTED_VALUE"""),"EXPERTS &amp; TALENTS Dresden GmbH")</f>
        <v>EXPERTS &amp; TALENTS Dresden GmbH</v>
      </c>
      <c r="F887" s="7" t="str">
        <f>IFERROR(__xludf.DUMMYFUNCTION("""COMPUTED_VALUE"""),"None")</f>
        <v>None</v>
      </c>
      <c r="G887" s="7" t="str">
        <f>IFERROR(__xludf.DUMMYFUNCTION("""COMPUTED_VALUE"""),"No salary data")</f>
        <v>No salary data</v>
      </c>
      <c r="H887" s="7" t="str">
        <f>IFERROR(__xludf.DUMMYFUNCTION("""COMPUTED_VALUE"""),"No salary data")</f>
        <v>No salary data</v>
      </c>
      <c r="I887" s="7" t="str">
        <f>IFERROR(__xludf.DUMMYFUNCTION("""COMPUTED_VALUE"""),"No salary data")</f>
        <v>No salary data</v>
      </c>
      <c r="J887" s="7" t="str">
        <f>IFERROR(__xludf.DUMMYFUNCTION("""COMPUTED_VALUE"""),"SQL")</f>
        <v>SQL</v>
      </c>
      <c r="K887" s="7" t="str">
        <f>IFERROR(__xludf.DUMMYFUNCTION("""COMPUTED_VALUE"""),"No job type data")</f>
        <v>No job type data</v>
      </c>
      <c r="L887" s="7" t="str">
        <f>IFERROR(__xludf.DUMMYFUNCTION("""COMPUTED_VALUE"""),"3,0")</f>
        <v>3,0</v>
      </c>
      <c r="M887" s="7"/>
      <c r="N887" s="7"/>
      <c r="O887" s="7"/>
    </row>
    <row r="888">
      <c r="A888" s="29">
        <f>IFERROR(__xludf.DUMMYFUNCTION("""COMPUTED_VALUE"""),884.0)</f>
        <v>884</v>
      </c>
      <c r="B888" s="7" t="str">
        <f>IFERROR(__xludf.DUMMYFUNCTION("""COMPUTED_VALUE"""),"Vor mehr als 30 Tagen")</f>
        <v>Vor mehr als 30 Tagen</v>
      </c>
      <c r="C888" s="7" t="str">
        <f>IFERROR(__xludf.DUMMYFUNCTION("""COMPUTED_VALUE"""),"Data Engineer (m/w/d)")</f>
        <v>Data Engineer (m/w/d)</v>
      </c>
      <c r="D888" s="7" t="str">
        <f>IFERROR(__xludf.DUMMYFUNCTION("""COMPUTED_VALUE"""),"Potsdam")</f>
        <v>Potsdam</v>
      </c>
      <c r="E888" s="7" t="str">
        <f>IFERROR(__xludf.DUMMYFUNCTION("""COMPUTED_VALUE"""),"FERCHAU")</f>
        <v>FERCHAU</v>
      </c>
      <c r="F888" s="7" t="str">
        <f>IFERROR(__xludf.DUMMYFUNCTION("""COMPUTED_VALUE"""),"None")</f>
        <v>None</v>
      </c>
      <c r="G888" s="7" t="str">
        <f>IFERROR(__xludf.DUMMYFUNCTION("""COMPUTED_VALUE"""),"No salary data")</f>
        <v>No salary data</v>
      </c>
      <c r="H888" s="7" t="str">
        <f>IFERROR(__xludf.DUMMYFUNCTION("""COMPUTED_VALUE"""),"No salary data")</f>
        <v>No salary data</v>
      </c>
      <c r="I888" s="7" t="str">
        <f>IFERROR(__xludf.DUMMYFUNCTION("""COMPUTED_VALUE"""),"No salary data")</f>
        <v>No salary data</v>
      </c>
      <c r="J888" s="7" t="str">
        <f>IFERROR(__xludf.DUMMYFUNCTION("""COMPUTED_VALUE"""),"Machine Learning")</f>
        <v>Machine Learning</v>
      </c>
      <c r="K888" s="7" t="str">
        <f>IFERROR(__xludf.DUMMYFUNCTION("""COMPUTED_VALUE"""),"No job type data")</f>
        <v>No job type data</v>
      </c>
      <c r="L888" s="7" t="str">
        <f>IFERROR(__xludf.DUMMYFUNCTION("""COMPUTED_VALUE"""),"3,4")</f>
        <v>3,4</v>
      </c>
      <c r="M888" s="7"/>
      <c r="N888" s="7"/>
      <c r="O888" s="7"/>
    </row>
    <row r="889">
      <c r="A889" s="29">
        <f>IFERROR(__xludf.DUMMYFUNCTION("""COMPUTED_VALUE"""),885.0)</f>
        <v>885</v>
      </c>
      <c r="B889" s="7" t="str">
        <f>IFERROR(__xludf.DUMMYFUNCTION("""COMPUTED_VALUE"""),"Vor mehr als 30 Tagen")</f>
        <v>Vor mehr als 30 Tagen</v>
      </c>
      <c r="C889" s="7" t="str">
        <f>IFERROR(__xludf.DUMMYFUNCTION("""COMPUTED_VALUE"""),"Consultant (m/w/d) Master Data Management")</f>
        <v>Consultant (m/w/d) Master Data Management</v>
      </c>
      <c r="D889" s="7" t="str">
        <f>IFERROR(__xludf.DUMMYFUNCTION("""COMPUTED_VALUE"""),"Oberkochen")</f>
        <v>Oberkochen</v>
      </c>
      <c r="E889" s="7" t="str">
        <f>IFERROR(__xludf.DUMMYFUNCTION("""COMPUTED_VALUE"""),"FERCHAU")</f>
        <v>FERCHAU</v>
      </c>
      <c r="F889" s="7" t="str">
        <f>IFERROR(__xludf.DUMMYFUNCTION("""COMPUTED_VALUE"""),"None")</f>
        <v>None</v>
      </c>
      <c r="G889" s="7" t="str">
        <f>IFERROR(__xludf.DUMMYFUNCTION("""COMPUTED_VALUE"""),"No salary data")</f>
        <v>No salary data</v>
      </c>
      <c r="H889" s="7" t="str">
        <f>IFERROR(__xludf.DUMMYFUNCTION("""COMPUTED_VALUE"""),"No salary data")</f>
        <v>No salary data</v>
      </c>
      <c r="I889" s="7" t="str">
        <f>IFERROR(__xludf.DUMMYFUNCTION("""COMPUTED_VALUE"""),"No salary data")</f>
        <v>No salary data</v>
      </c>
      <c r="J889" s="7"/>
      <c r="K889" s="7" t="str">
        <f>IFERROR(__xludf.DUMMYFUNCTION("""COMPUTED_VALUE"""),"No job type data")</f>
        <v>No job type data</v>
      </c>
      <c r="L889" s="7" t="str">
        <f>IFERROR(__xludf.DUMMYFUNCTION("""COMPUTED_VALUE"""),"3,4")</f>
        <v>3,4</v>
      </c>
      <c r="M889" s="7"/>
      <c r="N889" s="7"/>
      <c r="O889" s="7"/>
    </row>
    <row r="890">
      <c r="A890" s="29">
        <f>IFERROR(__xludf.DUMMYFUNCTION("""COMPUTED_VALUE"""),886.0)</f>
        <v>886</v>
      </c>
      <c r="B890" s="7" t="str">
        <f>IFERROR(__xludf.DUMMYFUNCTION("""COMPUTED_VALUE"""),"Vor mehr als 30 Tagen")</f>
        <v>Vor mehr als 30 Tagen</v>
      </c>
      <c r="C890" s="7" t="str">
        <f>IFERROR(__xludf.DUMMYFUNCTION("""COMPUTED_VALUE"""),"Data Engineer (m/w/d)")</f>
        <v>Data Engineer (m/w/d)</v>
      </c>
      <c r="D890" s="7" t="str">
        <f>IFERROR(__xludf.DUMMYFUNCTION("""COMPUTED_VALUE"""),"Offenburg")</f>
        <v>Offenburg</v>
      </c>
      <c r="E890" s="7" t="str">
        <f>IFERROR(__xludf.DUMMYFUNCTION("""COMPUTED_VALUE"""),"Campusjäger GmbH")</f>
        <v>Campusjäger GmbH</v>
      </c>
      <c r="F890" s="7" t="str">
        <f>IFERROR(__xludf.DUMMYFUNCTION("""COMPUTED_VALUE"""),"None")</f>
        <v>None</v>
      </c>
      <c r="G890" s="7" t="str">
        <f>IFERROR(__xludf.DUMMYFUNCTION("""COMPUTED_VALUE"""),"No salary data")</f>
        <v>No salary data</v>
      </c>
      <c r="H890" s="7" t="str">
        <f>IFERROR(__xludf.DUMMYFUNCTION("""COMPUTED_VALUE"""),"No salary data")</f>
        <v>No salary data</v>
      </c>
      <c r="I890" s="7" t="str">
        <f>IFERROR(__xludf.DUMMYFUNCTION("""COMPUTED_VALUE"""),"No salary data")</f>
        <v>No salary data</v>
      </c>
      <c r="J890" s="7" t="str">
        <f>IFERROR(__xludf.DUMMYFUNCTION("""COMPUTED_VALUE"""),"Python, SQL, Agile")</f>
        <v>Python, SQL, Agile</v>
      </c>
      <c r="K890" s="7" t="str">
        <f>IFERROR(__xludf.DUMMYFUNCTION("""COMPUTED_VALUE"""),"No job type data")</f>
        <v>No job type data</v>
      </c>
      <c r="L890" s="7" t="str">
        <f>IFERROR(__xludf.DUMMYFUNCTION("""COMPUTED_VALUE"""),"4,8")</f>
        <v>4,8</v>
      </c>
      <c r="M890" s="7"/>
      <c r="N890" s="7"/>
      <c r="O890" s="7"/>
    </row>
    <row r="891">
      <c r="A891" s="29">
        <f>IFERROR(__xludf.DUMMYFUNCTION("""COMPUTED_VALUE"""),887.0)</f>
        <v>887</v>
      </c>
      <c r="B891" s="7" t="str">
        <f>IFERROR(__xludf.DUMMYFUNCTION("""COMPUTED_VALUE"""),"Vor mehr als 30 Tagen")</f>
        <v>Vor mehr als 30 Tagen</v>
      </c>
      <c r="C891" s="7" t="str">
        <f>IFERROR(__xludf.DUMMYFUNCTION("""COMPUTED_VALUE"""),"Big Data Engineer (m/w/d)")</f>
        <v>Big Data Engineer (m/w/d)</v>
      </c>
      <c r="D891" s="7" t="str">
        <f>IFERROR(__xludf.DUMMYFUNCTION("""COMPUTED_VALUE"""),"Düsseldorf")</f>
        <v>Düsseldorf</v>
      </c>
      <c r="E891" s="7" t="str">
        <f>IFERROR(__xludf.DUMMYFUNCTION("""COMPUTED_VALUE"""),"FERCHAU")</f>
        <v>FERCHAU</v>
      </c>
      <c r="F891" s="7" t="str">
        <f>IFERROR(__xludf.DUMMYFUNCTION("""COMPUTED_VALUE"""),"None")</f>
        <v>None</v>
      </c>
      <c r="G891" s="7" t="str">
        <f>IFERROR(__xludf.DUMMYFUNCTION("""COMPUTED_VALUE"""),"No salary data")</f>
        <v>No salary data</v>
      </c>
      <c r="H891" s="7" t="str">
        <f>IFERROR(__xludf.DUMMYFUNCTION("""COMPUTED_VALUE"""),"No salary data")</f>
        <v>No salary data</v>
      </c>
      <c r="I891" s="7" t="str">
        <f>IFERROR(__xludf.DUMMYFUNCTION("""COMPUTED_VALUE"""),"No salary data")</f>
        <v>No salary data</v>
      </c>
      <c r="J891" s="7" t="str">
        <f>IFERROR(__xludf.DUMMYFUNCTION("""COMPUTED_VALUE"""),"Python, SQL, Git")</f>
        <v>Python, SQL, Git</v>
      </c>
      <c r="K891" s="7" t="str">
        <f>IFERROR(__xludf.DUMMYFUNCTION("""COMPUTED_VALUE"""),"No job type data")</f>
        <v>No job type data</v>
      </c>
      <c r="L891" s="7" t="str">
        <f>IFERROR(__xludf.DUMMYFUNCTION("""COMPUTED_VALUE"""),"3,4")</f>
        <v>3,4</v>
      </c>
      <c r="M891" s="7"/>
      <c r="N891" s="7"/>
      <c r="O891" s="7"/>
    </row>
    <row r="892">
      <c r="A892" s="29">
        <f>IFERROR(__xludf.DUMMYFUNCTION("""COMPUTED_VALUE"""),888.0)</f>
        <v>888</v>
      </c>
      <c r="B892" s="7" t="str">
        <f>IFERROR(__xludf.DUMMYFUNCTION("""COMPUTED_VALUE"""),"vor 19 Tagen")</f>
        <v>vor 19 Tagen</v>
      </c>
      <c r="C892" s="7" t="str">
        <f>IFERROR(__xludf.DUMMYFUNCTION("""COMPUTED_VALUE"""),"Process Expert Data Integrity")</f>
        <v>Process Expert Data Integrity</v>
      </c>
      <c r="D892" s="7" t="str">
        <f>IFERROR(__xludf.DUMMYFUNCTION("""COMPUTED_VALUE"""),"Biberach an der Riß")</f>
        <v>Biberach an der Riß</v>
      </c>
      <c r="E892" s="7" t="str">
        <f>IFERROR(__xludf.DUMMYFUNCTION("""COMPUTED_VALUE"""),"Brunel")</f>
        <v>Brunel</v>
      </c>
      <c r="F892" s="7" t="str">
        <f>IFERROR(__xludf.DUMMYFUNCTION("""COMPUTED_VALUE"""),"None")</f>
        <v>None</v>
      </c>
      <c r="G892" s="7" t="str">
        <f>IFERROR(__xludf.DUMMYFUNCTION("""COMPUTED_VALUE"""),"No salary data")</f>
        <v>No salary data</v>
      </c>
      <c r="H892" s="7" t="str">
        <f>IFERROR(__xludf.DUMMYFUNCTION("""COMPUTED_VALUE"""),"No salary data")</f>
        <v>No salary data</v>
      </c>
      <c r="I892" s="7" t="str">
        <f>IFERROR(__xludf.DUMMYFUNCTION("""COMPUTED_VALUE"""),"No salary data")</f>
        <v>No salary data</v>
      </c>
      <c r="J892" s="7"/>
      <c r="K892" s="7" t="str">
        <f>IFERROR(__xludf.DUMMYFUNCTION("""COMPUTED_VALUE"""),"No job type data")</f>
        <v>No job type data</v>
      </c>
      <c r="L892" s="7" t="str">
        <f>IFERROR(__xludf.DUMMYFUNCTION("""COMPUTED_VALUE"""),"3,9")</f>
        <v>3,9</v>
      </c>
      <c r="M892" s="7"/>
      <c r="N892" s="7"/>
      <c r="O892" s="7"/>
    </row>
    <row r="893">
      <c r="A893" s="29">
        <f>IFERROR(__xludf.DUMMYFUNCTION("""COMPUTED_VALUE"""),889.0)</f>
        <v>889</v>
      </c>
      <c r="B893" s="7" t="str">
        <f>IFERROR(__xludf.DUMMYFUNCTION("""COMPUTED_VALUE"""),"Vor mehr als 30 Tagen")</f>
        <v>Vor mehr als 30 Tagen</v>
      </c>
      <c r="C893" s="7" t="str">
        <f>IFERROR(__xludf.DUMMYFUNCTION("""COMPUTED_VALUE"""),"Data Analyst (m/w/d) Ab Initio / Informatik / Python")</f>
        <v>Data Analyst (m/w/d) Ab Initio / Informatik / Python</v>
      </c>
      <c r="D893" s="7" t="str">
        <f>IFERROR(__xludf.DUMMYFUNCTION("""COMPUTED_VALUE"""),"Frankfurt am Main")</f>
        <v>Frankfurt am Main</v>
      </c>
      <c r="E893" s="7" t="str">
        <f>IFERROR(__xludf.DUMMYFUNCTION("""COMPUTED_VALUE"""),"Campusjäger GmbH")</f>
        <v>Campusjäger GmbH</v>
      </c>
      <c r="F893" s="7" t="str">
        <f>IFERROR(__xludf.DUMMYFUNCTION("""COMPUTED_VALUE"""),"None")</f>
        <v>None</v>
      </c>
      <c r="G893" s="7" t="str">
        <f>IFERROR(__xludf.DUMMYFUNCTION("""COMPUTED_VALUE"""),"No salary data")</f>
        <v>No salary data</v>
      </c>
      <c r="H893" s="7" t="str">
        <f>IFERROR(__xludf.DUMMYFUNCTION("""COMPUTED_VALUE"""),"No salary data")</f>
        <v>No salary data</v>
      </c>
      <c r="I893" s="7" t="str">
        <f>IFERROR(__xludf.DUMMYFUNCTION("""COMPUTED_VALUE"""),"No salary data")</f>
        <v>No salary data</v>
      </c>
      <c r="J893" s="7" t="str">
        <f>IFERROR(__xludf.DUMMYFUNCTION("""COMPUTED_VALUE"""),"Python, SQL")</f>
        <v>Python, SQL</v>
      </c>
      <c r="K893" s="7" t="str">
        <f>IFERROR(__xludf.DUMMYFUNCTION("""COMPUTED_VALUE"""),"No job type data")</f>
        <v>No job type data</v>
      </c>
      <c r="L893" s="7" t="str">
        <f>IFERROR(__xludf.DUMMYFUNCTION("""COMPUTED_VALUE"""),"4,8")</f>
        <v>4,8</v>
      </c>
      <c r="M893" s="7"/>
      <c r="N893" s="7"/>
      <c r="O893" s="7"/>
    </row>
    <row r="894">
      <c r="A894" s="29">
        <f>IFERROR(__xludf.DUMMYFUNCTION("""COMPUTED_VALUE"""),890.0)</f>
        <v>890</v>
      </c>
      <c r="B894" s="7" t="str">
        <f>IFERROR(__xludf.DUMMYFUNCTION("""COMPUTED_VALUE"""),"vor 4 Tagen")</f>
        <v>vor 4 Tagen</v>
      </c>
      <c r="C894" s="7" t="str">
        <f>IFERROR(__xludf.DUMMYFUNCTION("""COMPUTED_VALUE"""),"Business Intelligence Developer (m/f/d)")</f>
        <v>Business Intelligence Developer (m/f/d)</v>
      </c>
      <c r="D894" s="7" t="str">
        <f>IFERROR(__xludf.DUMMYFUNCTION("""COMPUTED_VALUE"""),"Berlin")</f>
        <v>Berlin</v>
      </c>
      <c r="E894" s="7" t="str">
        <f>IFERROR(__xludf.DUMMYFUNCTION("""COMPUTED_VALUE"""),"Mister Spex GmbH")</f>
        <v>Mister Spex GmbH</v>
      </c>
      <c r="F894" s="7" t="str">
        <f>IFERROR(__xludf.DUMMYFUNCTION("""COMPUTED_VALUE"""),"None")</f>
        <v>None</v>
      </c>
      <c r="G894" s="7" t="str">
        <f>IFERROR(__xludf.DUMMYFUNCTION("""COMPUTED_VALUE"""),"No salary data")</f>
        <v>No salary data</v>
      </c>
      <c r="H894" s="7" t="str">
        <f>IFERROR(__xludf.DUMMYFUNCTION("""COMPUTED_VALUE"""),"No salary data")</f>
        <v>No salary data</v>
      </c>
      <c r="I894" s="7" t="str">
        <f>IFERROR(__xludf.DUMMYFUNCTION("""COMPUTED_VALUE"""),"No salary data")</f>
        <v>No salary data</v>
      </c>
      <c r="J894" s="7" t="str">
        <f>IFERROR(__xludf.DUMMYFUNCTION("""COMPUTED_VALUE"""),"SQL")</f>
        <v>SQL</v>
      </c>
      <c r="K894" s="7" t="str">
        <f>IFERROR(__xludf.DUMMYFUNCTION("""COMPUTED_VALUE"""),"No job type data")</f>
        <v>No job type data</v>
      </c>
      <c r="L894" s="7" t="str">
        <f>IFERROR(__xludf.DUMMYFUNCTION("""COMPUTED_VALUE"""),"3,8")</f>
        <v>3,8</v>
      </c>
      <c r="M894" s="7"/>
      <c r="N894" s="7"/>
      <c r="O894" s="7"/>
    </row>
    <row r="895">
      <c r="A895" s="29">
        <f>IFERROR(__xludf.DUMMYFUNCTION("""COMPUTED_VALUE"""),891.0)</f>
        <v>891</v>
      </c>
      <c r="B895" s="7" t="str">
        <f>IFERROR(__xludf.DUMMYFUNCTION("""COMPUTED_VALUE"""),"vor 12 Tagen")</f>
        <v>vor 12 Tagen</v>
      </c>
      <c r="C895" s="7" t="str">
        <f>IFERROR(__xludf.DUMMYFUNCTION("""COMPUTED_VALUE"""),"Financial Analyst (m/w/d)")</f>
        <v>Financial Analyst (m/w/d)</v>
      </c>
      <c r="D895" s="7" t="str">
        <f>IFERROR(__xludf.DUMMYFUNCTION("""COMPUTED_VALUE"""),"München")</f>
        <v>München</v>
      </c>
      <c r="E895" s="7" t="str">
        <f>IFERROR(__xludf.DUMMYFUNCTION("""COMPUTED_VALUE"""),"Michael Page")</f>
        <v>Michael Page</v>
      </c>
      <c r="F895" s="7" t="str">
        <f>IFERROR(__xludf.DUMMYFUNCTION("""COMPUTED_VALUE"""),"None")</f>
        <v>None</v>
      </c>
      <c r="G895" s="7" t="str">
        <f>IFERROR(__xludf.DUMMYFUNCTION("""COMPUTED_VALUE"""),"No salary data")</f>
        <v>No salary data</v>
      </c>
      <c r="H895" s="7" t="str">
        <f>IFERROR(__xludf.DUMMYFUNCTION("""COMPUTED_VALUE"""),"No salary data")</f>
        <v>No salary data</v>
      </c>
      <c r="I895" s="7" t="str">
        <f>IFERROR(__xludf.DUMMYFUNCTION("""COMPUTED_VALUE"""),"No salary data")</f>
        <v>No salary data</v>
      </c>
      <c r="J895" s="7" t="str">
        <f>IFERROR(__xludf.DUMMYFUNCTION("""COMPUTED_VALUE"""),"Excel")</f>
        <v>Excel</v>
      </c>
      <c r="K895" s="7" t="str">
        <f>IFERROR(__xludf.DUMMYFUNCTION("""COMPUTED_VALUE"""),"No job type data")</f>
        <v>No job type data</v>
      </c>
      <c r="L895" s="7" t="str">
        <f>IFERROR(__xludf.DUMMYFUNCTION("""COMPUTED_VALUE"""),"3,5")</f>
        <v>3,5</v>
      </c>
      <c r="M895" s="7"/>
      <c r="N895" s="7"/>
      <c r="O895" s="7"/>
    </row>
    <row r="896">
      <c r="A896" s="29">
        <f>IFERROR(__xludf.DUMMYFUNCTION("""COMPUTED_VALUE"""),892.0)</f>
        <v>892</v>
      </c>
      <c r="B896" s="7" t="str">
        <f>IFERROR(__xludf.DUMMYFUNCTION("""COMPUTED_VALUE"""),"vor 6 Tagen")</f>
        <v>vor 6 Tagen</v>
      </c>
      <c r="C896" s="7" t="str">
        <f>IFERROR(__xludf.DUMMYFUNCTION("""COMPUTED_VALUE"""),"Informatiker/ Mathematiker (m/w/d) im Bereich Data Science")</f>
        <v>Informatiker/ Mathematiker (m/w/d) im Bereich Data Science</v>
      </c>
      <c r="D896" s="7" t="str">
        <f>IFERROR(__xludf.DUMMYFUNCTION("""COMPUTED_VALUE"""),"Heidelberg")</f>
        <v>Heidelberg</v>
      </c>
      <c r="E896" s="7" t="str">
        <f>IFERROR(__xludf.DUMMYFUNCTION("""COMPUTED_VALUE"""),"univativ GmbH")</f>
        <v>univativ GmbH</v>
      </c>
      <c r="F896" s="7" t="str">
        <f>IFERROR(__xludf.DUMMYFUNCTION("""COMPUTED_VALUE"""),"None")</f>
        <v>None</v>
      </c>
      <c r="G896" s="7" t="str">
        <f>IFERROR(__xludf.DUMMYFUNCTION("""COMPUTED_VALUE"""),"No salary data")</f>
        <v>No salary data</v>
      </c>
      <c r="H896" s="7" t="str">
        <f>IFERROR(__xludf.DUMMYFUNCTION("""COMPUTED_VALUE"""),"No salary data")</f>
        <v>No salary data</v>
      </c>
      <c r="I896" s="7" t="str">
        <f>IFERROR(__xludf.DUMMYFUNCTION("""COMPUTED_VALUE"""),"No salary data")</f>
        <v>No salary data</v>
      </c>
      <c r="J896" s="7"/>
      <c r="K896" s="7" t="str">
        <f>IFERROR(__xludf.DUMMYFUNCTION("""COMPUTED_VALUE"""),"No job type data")</f>
        <v>No job type data</v>
      </c>
      <c r="L896" s="7" t="str">
        <f>IFERROR(__xludf.DUMMYFUNCTION("""COMPUTED_VALUE"""),"4,4")</f>
        <v>4,4</v>
      </c>
      <c r="M896" s="7"/>
      <c r="N896" s="7"/>
      <c r="O896" s="7"/>
    </row>
    <row r="897">
      <c r="A897" s="29">
        <f>IFERROR(__xludf.DUMMYFUNCTION("""COMPUTED_VALUE"""),893.0)</f>
        <v>893</v>
      </c>
      <c r="B897" s="7" t="str">
        <f>IFERROR(__xludf.DUMMYFUNCTION("""COMPUTED_VALUE"""),"Vor mehr als 30 Tagen")</f>
        <v>Vor mehr als 30 Tagen</v>
      </c>
      <c r="C897" s="7" t="str">
        <f>IFERROR(__xludf.DUMMYFUNCTION("""COMPUTED_VALUE"""),"Data Scientist / Mathematiker im Consulting (m/w/d) - Chemni...")</f>
        <v>Data Scientist / Mathematiker im Consulting (m/w/d) - Chemni...</v>
      </c>
      <c r="D897" s="7" t="str">
        <f>IFERROR(__xludf.DUMMYFUNCTION("""COMPUTED_VALUE"""),"Chemnitz")</f>
        <v>Chemnitz</v>
      </c>
      <c r="E897" s="7" t="str">
        <f>IFERROR(__xludf.DUMMYFUNCTION("""COMPUTED_VALUE"""),"Campusjäger GmbH")</f>
        <v>Campusjäger GmbH</v>
      </c>
      <c r="F897" s="7" t="str">
        <f>IFERROR(__xludf.DUMMYFUNCTION("""COMPUTED_VALUE"""),"None")</f>
        <v>None</v>
      </c>
      <c r="G897" s="7" t="str">
        <f>IFERROR(__xludf.DUMMYFUNCTION("""COMPUTED_VALUE"""),"No salary data")</f>
        <v>No salary data</v>
      </c>
      <c r="H897" s="7" t="str">
        <f>IFERROR(__xludf.DUMMYFUNCTION("""COMPUTED_VALUE"""),"No salary data")</f>
        <v>No salary data</v>
      </c>
      <c r="I897" s="7" t="str">
        <f>IFERROR(__xludf.DUMMYFUNCTION("""COMPUTED_VALUE"""),"No salary data")</f>
        <v>No salary data</v>
      </c>
      <c r="J897" s="7" t="str">
        <f>IFERROR(__xludf.DUMMYFUNCTION("""COMPUTED_VALUE"""),"Python, Deep Learning")</f>
        <v>Python, Deep Learning</v>
      </c>
      <c r="K897" s="7" t="str">
        <f>IFERROR(__xludf.DUMMYFUNCTION("""COMPUTED_VALUE"""),"No job type data")</f>
        <v>No job type data</v>
      </c>
      <c r="L897" s="7" t="str">
        <f>IFERROR(__xludf.DUMMYFUNCTION("""COMPUTED_VALUE"""),"4,8")</f>
        <v>4,8</v>
      </c>
      <c r="M897" s="7"/>
      <c r="N897" s="7"/>
      <c r="O897" s="7"/>
    </row>
    <row r="898">
      <c r="A898" s="29">
        <f>IFERROR(__xludf.DUMMYFUNCTION("""COMPUTED_VALUE"""),894.0)</f>
        <v>894</v>
      </c>
      <c r="B898" s="7" t="str">
        <f>IFERROR(__xludf.DUMMYFUNCTION("""COMPUTED_VALUE"""),"vor 14 Tagen")</f>
        <v>vor 14 Tagen</v>
      </c>
      <c r="C898" s="7" t="str">
        <f>IFERROR(__xludf.DUMMYFUNCTION("""COMPUTED_VALUE"""),"Junior Prozessmanager / Business Analyst (m/w/d) Schwerpunkt...")</f>
        <v>Junior Prozessmanager / Business Analyst (m/w/d) Schwerpunkt...</v>
      </c>
      <c r="D898" s="7" t="str">
        <f>IFERROR(__xludf.DUMMYFUNCTION("""COMPUTED_VALUE"""),"Pforzheim")</f>
        <v>Pforzheim</v>
      </c>
      <c r="E898" s="7" t="str">
        <f>IFERROR(__xludf.DUMMYFUNCTION("""COMPUTED_VALUE"""),"BRUNO BADER GmbH + Co. KG")</f>
        <v>BRUNO BADER GmbH + Co. KG</v>
      </c>
      <c r="F898" s="7" t="str">
        <f>IFERROR(__xludf.DUMMYFUNCTION("""COMPUTED_VALUE"""),"None")</f>
        <v>None</v>
      </c>
      <c r="G898" s="7" t="str">
        <f>IFERROR(__xludf.DUMMYFUNCTION("""COMPUTED_VALUE"""),"No salary data")</f>
        <v>No salary data</v>
      </c>
      <c r="H898" s="7" t="str">
        <f>IFERROR(__xludf.DUMMYFUNCTION("""COMPUTED_VALUE"""),"No salary data")</f>
        <v>No salary data</v>
      </c>
      <c r="I898" s="7" t="str">
        <f>IFERROR(__xludf.DUMMYFUNCTION("""COMPUTED_VALUE"""),"No salary data")</f>
        <v>No salary data</v>
      </c>
      <c r="J898" s="7" t="str">
        <f>IFERROR(__xludf.DUMMYFUNCTION("""COMPUTED_VALUE"""),"SQL, Excel")</f>
        <v>SQL, Excel</v>
      </c>
      <c r="K898" s="7" t="str">
        <f>IFERROR(__xludf.DUMMYFUNCTION("""COMPUTED_VALUE"""),"No job type data")</f>
        <v>No job type data</v>
      </c>
      <c r="L898" s="7" t="str">
        <f>IFERROR(__xludf.DUMMYFUNCTION("""COMPUTED_VALUE"""),"None")</f>
        <v>None</v>
      </c>
      <c r="M898" s="7"/>
      <c r="N898" s="7"/>
      <c r="O898" s="7"/>
    </row>
    <row r="899">
      <c r="A899" s="29">
        <f>IFERROR(__xludf.DUMMYFUNCTION("""COMPUTED_VALUE"""),895.0)</f>
        <v>895</v>
      </c>
      <c r="B899" s="7" t="str">
        <f>IFERROR(__xludf.DUMMYFUNCTION("""COMPUTED_VALUE"""),"vor 9 Tagen")</f>
        <v>vor 9 Tagen</v>
      </c>
      <c r="C899" s="7" t="str">
        <f>IFERROR(__xludf.DUMMYFUNCTION("""COMPUTED_VALUE"""),"(Junior) Data Manager Subnational Insights &amp; Analytics (m/w/...")</f>
        <v>(Junior) Data Manager Subnational Insights &amp; Analytics (m/w/...</v>
      </c>
      <c r="D899" s="7" t="str">
        <f>IFERROR(__xludf.DUMMYFUNCTION("""COMPUTED_VALUE"""),"Waldems")</f>
        <v>Waldems</v>
      </c>
      <c r="E899" s="7" t="str">
        <f>IFERROR(__xludf.DUMMYFUNCTION("""COMPUTED_VALUE"""),"INSIGHT Health GmbH &amp; Co. KG")</f>
        <v>INSIGHT Health GmbH &amp; Co. KG</v>
      </c>
      <c r="F899" s="7" t="str">
        <f>IFERROR(__xludf.DUMMYFUNCTION("""COMPUTED_VALUE"""),"None")</f>
        <v>None</v>
      </c>
      <c r="G899" s="7" t="str">
        <f>IFERROR(__xludf.DUMMYFUNCTION("""COMPUTED_VALUE"""),"No salary data")</f>
        <v>No salary data</v>
      </c>
      <c r="H899" s="7" t="str">
        <f>IFERROR(__xludf.DUMMYFUNCTION("""COMPUTED_VALUE"""),"No salary data")</f>
        <v>No salary data</v>
      </c>
      <c r="I899" s="7" t="str">
        <f>IFERROR(__xludf.DUMMYFUNCTION("""COMPUTED_VALUE"""),"No salary data")</f>
        <v>No salary data</v>
      </c>
      <c r="J899" s="7" t="str">
        <f>IFERROR(__xludf.DUMMYFUNCTION("""COMPUTED_VALUE"""),"Excel")</f>
        <v>Excel</v>
      </c>
      <c r="K899" s="7" t="str">
        <f>IFERROR(__xludf.DUMMYFUNCTION("""COMPUTED_VALUE"""),"No job type data")</f>
        <v>No job type data</v>
      </c>
      <c r="L899" s="7" t="str">
        <f>IFERROR(__xludf.DUMMYFUNCTION("""COMPUTED_VALUE"""),"None")</f>
        <v>None</v>
      </c>
      <c r="M899" s="7"/>
      <c r="N899" s="7"/>
      <c r="O899" s="7"/>
    </row>
    <row r="900">
      <c r="A900" s="29">
        <f>IFERROR(__xludf.DUMMYFUNCTION("""COMPUTED_VALUE"""),896.0)</f>
        <v>896</v>
      </c>
      <c r="B900" s="7" t="str">
        <f>IFERROR(__xludf.DUMMYFUNCTION("""COMPUTED_VALUE"""),"Vor mehr als 30 Tagen")</f>
        <v>Vor mehr als 30 Tagen</v>
      </c>
      <c r="C900" s="7" t="str">
        <f>IFERROR(__xludf.DUMMYFUNCTION("""COMPUTED_VALUE"""),"(Senior) Marketing Analyst (m/f/d)")</f>
        <v>(Senior) Marketing Analyst (m/f/d)</v>
      </c>
      <c r="D900" s="7" t="str">
        <f>IFERROR(__xludf.DUMMYFUNCTION("""COMPUTED_VALUE"""),"Berlin")</f>
        <v>Berlin</v>
      </c>
      <c r="E900" s="7" t="str">
        <f>IFERROR(__xludf.DUMMYFUNCTION("""COMPUTED_VALUE"""),"Mister Spex GmbH")</f>
        <v>Mister Spex GmbH</v>
      </c>
      <c r="F900" s="7" t="str">
        <f>IFERROR(__xludf.DUMMYFUNCTION("""COMPUTED_VALUE"""),"None")</f>
        <v>None</v>
      </c>
      <c r="G900" s="7" t="str">
        <f>IFERROR(__xludf.DUMMYFUNCTION("""COMPUTED_VALUE"""),"No salary data")</f>
        <v>No salary data</v>
      </c>
      <c r="H900" s="7" t="str">
        <f>IFERROR(__xludf.DUMMYFUNCTION("""COMPUTED_VALUE"""),"No salary data")</f>
        <v>No salary data</v>
      </c>
      <c r="I900" s="7" t="str">
        <f>IFERROR(__xludf.DUMMYFUNCTION("""COMPUTED_VALUE"""),"No salary data")</f>
        <v>No salary data</v>
      </c>
      <c r="J900" s="7" t="str">
        <f>IFERROR(__xludf.DUMMYFUNCTION("""COMPUTED_VALUE"""),"Python, SQL, Tableau, Excel")</f>
        <v>Python, SQL, Tableau, Excel</v>
      </c>
      <c r="K900" s="7" t="str">
        <f>IFERROR(__xludf.DUMMYFUNCTION("""COMPUTED_VALUE"""),"Contract")</f>
        <v>Contract</v>
      </c>
      <c r="L900" s="7" t="str">
        <f>IFERROR(__xludf.DUMMYFUNCTION("""COMPUTED_VALUE"""),"3,8")</f>
        <v>3,8</v>
      </c>
      <c r="M900" s="7"/>
      <c r="N900" s="7"/>
      <c r="O900" s="7"/>
    </row>
    <row r="901">
      <c r="A901" s="29">
        <f>IFERROR(__xludf.DUMMYFUNCTION("""COMPUTED_VALUE"""),897.0)</f>
        <v>897</v>
      </c>
      <c r="B901" s="7" t="str">
        <f>IFERROR(__xludf.DUMMYFUNCTION("""COMPUTED_VALUE"""),"vor 3 Tagen")</f>
        <v>vor 3 Tagen</v>
      </c>
      <c r="C901" s="7" t="str">
        <f>IFERROR(__xludf.DUMMYFUNCTION("""COMPUTED_VALUE"""),"Sales Excellence Manager / Data Scientist (m/f/d)")</f>
        <v>Sales Excellence Manager / Data Scientist (m/f/d)</v>
      </c>
      <c r="D901" s="7" t="str">
        <f>IFERROR(__xludf.DUMMYFUNCTION("""COMPUTED_VALUE"""),"München")</f>
        <v>München</v>
      </c>
      <c r="E901" s="7" t="str">
        <f>IFERROR(__xludf.DUMMYFUNCTION("""COMPUTED_VALUE"""),"Orizon GmbH")</f>
        <v>Orizon GmbH</v>
      </c>
      <c r="F901" s="7" t="str">
        <f>IFERROR(__xludf.DUMMYFUNCTION("""COMPUTED_VALUE"""),"None")</f>
        <v>None</v>
      </c>
      <c r="G901" s="7" t="str">
        <f>IFERROR(__xludf.DUMMYFUNCTION("""COMPUTED_VALUE"""),"No salary data")</f>
        <v>No salary data</v>
      </c>
      <c r="H901" s="7" t="str">
        <f>IFERROR(__xludf.DUMMYFUNCTION("""COMPUTED_VALUE"""),"No salary data")</f>
        <v>No salary data</v>
      </c>
      <c r="I901" s="7" t="str">
        <f>IFERROR(__xludf.DUMMYFUNCTION("""COMPUTED_VALUE"""),"No salary data")</f>
        <v>No salary data</v>
      </c>
      <c r="J901" s="7" t="str">
        <f>IFERROR(__xludf.DUMMYFUNCTION("""COMPUTED_VALUE"""),"Excel")</f>
        <v>Excel</v>
      </c>
      <c r="K901" s="7" t="str">
        <f>IFERROR(__xludf.DUMMYFUNCTION("""COMPUTED_VALUE"""),"Contract")</f>
        <v>Contract</v>
      </c>
      <c r="L901" s="7" t="str">
        <f>IFERROR(__xludf.DUMMYFUNCTION("""COMPUTED_VALUE"""),"3,3")</f>
        <v>3,3</v>
      </c>
      <c r="M901" s="7"/>
      <c r="N901" s="7"/>
      <c r="O901" s="7"/>
    </row>
    <row r="902">
      <c r="A902" s="29">
        <f>IFERROR(__xludf.DUMMYFUNCTION("""COMPUTED_VALUE"""),898.0)</f>
        <v>898</v>
      </c>
      <c r="B902" s="7" t="str">
        <f>IFERROR(__xludf.DUMMYFUNCTION("""COMPUTED_VALUE"""),"Vor mehr als 30 Tagen")</f>
        <v>Vor mehr als 30 Tagen</v>
      </c>
      <c r="C902" s="7" t="str">
        <f>IFERROR(__xludf.DUMMYFUNCTION("""COMPUTED_VALUE"""),"Werkstudent (m/w/d) Data Science / IT / Python / Karlsruhe")</f>
        <v>Werkstudent (m/w/d) Data Science / IT / Python / Karlsruhe</v>
      </c>
      <c r="D902" s="7" t="str">
        <f>IFERROR(__xludf.DUMMYFUNCTION("""COMPUTED_VALUE"""),"Karlsruhe")</f>
        <v>Karlsruhe</v>
      </c>
      <c r="E902" s="7" t="str">
        <f>IFERROR(__xludf.DUMMYFUNCTION("""COMPUTED_VALUE"""),"Campusjäger GmbH")</f>
        <v>Campusjäger GmbH</v>
      </c>
      <c r="F902" s="7" t="str">
        <f>IFERROR(__xludf.DUMMYFUNCTION("""COMPUTED_VALUE"""),"None")</f>
        <v>None</v>
      </c>
      <c r="G902" s="7" t="str">
        <f>IFERROR(__xludf.DUMMYFUNCTION("""COMPUTED_VALUE"""),"No salary data")</f>
        <v>No salary data</v>
      </c>
      <c r="H902" s="7" t="str">
        <f>IFERROR(__xludf.DUMMYFUNCTION("""COMPUTED_VALUE"""),"No salary data")</f>
        <v>No salary data</v>
      </c>
      <c r="I902" s="7" t="str">
        <f>IFERROR(__xludf.DUMMYFUNCTION("""COMPUTED_VALUE"""),"No salary data")</f>
        <v>No salary data</v>
      </c>
      <c r="J902" s="7" t="str">
        <f>IFERROR(__xludf.DUMMYFUNCTION("""COMPUTED_VALUE"""),"Python, SQL, Excel")</f>
        <v>Python, SQL, Excel</v>
      </c>
      <c r="K902" s="7" t="str">
        <f>IFERROR(__xludf.DUMMYFUNCTION("""COMPUTED_VALUE"""),"No job type data")</f>
        <v>No job type data</v>
      </c>
      <c r="L902" s="7" t="str">
        <f>IFERROR(__xludf.DUMMYFUNCTION("""COMPUTED_VALUE"""),"4,8")</f>
        <v>4,8</v>
      </c>
      <c r="M902" s="7"/>
      <c r="N902" s="7"/>
      <c r="O902" s="7"/>
    </row>
    <row r="903">
      <c r="A903" s="29">
        <f>IFERROR(__xludf.DUMMYFUNCTION("""COMPUTED_VALUE"""),899.0)</f>
        <v>899</v>
      </c>
      <c r="B903" s="7" t="str">
        <f>IFERROR(__xludf.DUMMYFUNCTION("""COMPUTED_VALUE"""),"vor 6 Tagen")</f>
        <v>vor 6 Tagen</v>
      </c>
      <c r="C903" s="7" t="str">
        <f>IFERROR(__xludf.DUMMYFUNCTION("""COMPUTED_VALUE"""),"Business Analyst")</f>
        <v>Business Analyst</v>
      </c>
      <c r="D903" s="7" t="str">
        <f>IFERROR(__xludf.DUMMYFUNCTION("""COMPUTED_VALUE"""),"München")</f>
        <v>München</v>
      </c>
      <c r="E903" s="7" t="str">
        <f>IFERROR(__xludf.DUMMYFUNCTION("""COMPUTED_VALUE"""),"Devexperts")</f>
        <v>Devexperts</v>
      </c>
      <c r="F903" s="7" t="str">
        <f>IFERROR(__xludf.DUMMYFUNCTION("""COMPUTED_VALUE"""),"None")</f>
        <v>None</v>
      </c>
      <c r="G903" s="7" t="str">
        <f>IFERROR(__xludf.DUMMYFUNCTION("""COMPUTED_VALUE"""),"No salary data")</f>
        <v>No salary data</v>
      </c>
      <c r="H903" s="7" t="str">
        <f>IFERROR(__xludf.DUMMYFUNCTION("""COMPUTED_VALUE"""),"No salary data")</f>
        <v>No salary data</v>
      </c>
      <c r="I903" s="7" t="str">
        <f>IFERROR(__xludf.DUMMYFUNCTION("""COMPUTED_VALUE"""),"No salary data")</f>
        <v>No salary data</v>
      </c>
      <c r="J903" s="7" t="str">
        <f>IFERROR(__xludf.DUMMYFUNCTION("""COMPUTED_VALUE"""),"SQL, Excel, Jira")</f>
        <v>SQL, Excel, Jira</v>
      </c>
      <c r="K903" s="7" t="str">
        <f>IFERROR(__xludf.DUMMYFUNCTION("""COMPUTED_VALUE"""),"Permanent")</f>
        <v>Permanent</v>
      </c>
      <c r="L903" s="7" t="str">
        <f>IFERROR(__xludf.DUMMYFUNCTION("""COMPUTED_VALUE"""),"None")</f>
        <v>None</v>
      </c>
      <c r="M903" s="7"/>
      <c r="N903" s="7"/>
      <c r="O903" s="7"/>
    </row>
    <row r="904">
      <c r="A904" s="29">
        <f>IFERROR(__xludf.DUMMYFUNCTION("""COMPUTED_VALUE"""),900.0)</f>
        <v>900</v>
      </c>
      <c r="B904" s="7" t="str">
        <f>IFERROR(__xludf.DUMMYFUNCTION("""COMPUTED_VALUE"""),"Vor mehr als 30 Tagen")</f>
        <v>Vor mehr als 30 Tagen</v>
      </c>
      <c r="C904" s="7" t="str">
        <f>IFERROR(__xludf.DUMMYFUNCTION("""COMPUTED_VALUE"""),"Business Intelligence Experte (m/w/d) Big Data, IT Consultan...")</f>
        <v>Business Intelligence Experte (m/w/d) Big Data, IT Consultan...</v>
      </c>
      <c r="D904" s="7" t="str">
        <f>IFERROR(__xludf.DUMMYFUNCTION("""COMPUTED_VALUE"""),"Ettlingen")</f>
        <v>Ettlingen</v>
      </c>
      <c r="E904" s="7" t="str">
        <f>IFERROR(__xludf.DUMMYFUNCTION("""COMPUTED_VALUE"""),"Campusjäger GmbH")</f>
        <v>Campusjäger GmbH</v>
      </c>
      <c r="F904" s="7" t="str">
        <f>IFERROR(__xludf.DUMMYFUNCTION("""COMPUTED_VALUE"""),"None")</f>
        <v>None</v>
      </c>
      <c r="G904" s="7" t="str">
        <f>IFERROR(__xludf.DUMMYFUNCTION("""COMPUTED_VALUE"""),"No salary data")</f>
        <v>No salary data</v>
      </c>
      <c r="H904" s="7" t="str">
        <f>IFERROR(__xludf.DUMMYFUNCTION("""COMPUTED_VALUE"""),"No salary data")</f>
        <v>No salary data</v>
      </c>
      <c r="I904" s="7" t="str">
        <f>IFERROR(__xludf.DUMMYFUNCTION("""COMPUTED_VALUE"""),"No salary data")</f>
        <v>No salary data</v>
      </c>
      <c r="J904" s="7" t="str">
        <f>IFERROR(__xludf.DUMMYFUNCTION("""COMPUTED_VALUE"""),"Git")</f>
        <v>Git</v>
      </c>
      <c r="K904" s="7" t="str">
        <f>IFERROR(__xludf.DUMMYFUNCTION("""COMPUTED_VALUE"""),"No job type data")</f>
        <v>No job type data</v>
      </c>
      <c r="L904" s="7" t="str">
        <f>IFERROR(__xludf.DUMMYFUNCTION("""COMPUTED_VALUE"""),"4,8")</f>
        <v>4,8</v>
      </c>
      <c r="M904" s="7"/>
      <c r="N904" s="7"/>
      <c r="O904" s="7"/>
    </row>
    <row r="905">
      <c r="A905" s="29">
        <f>IFERROR(__xludf.DUMMYFUNCTION("""COMPUTED_VALUE"""),901.0)</f>
        <v>901</v>
      </c>
      <c r="B905" s="7" t="str">
        <f>IFERROR(__xludf.DUMMYFUNCTION("""COMPUTED_VALUE"""),"vor 1 Tag")</f>
        <v>vor 1 Tag</v>
      </c>
      <c r="C905" s="7" t="str">
        <f>IFERROR(__xludf.DUMMYFUNCTION("""COMPUTED_VALUE"""),"Data Scientist (m/w/d)")</f>
        <v>Data Scientist (m/w/d)</v>
      </c>
      <c r="D905" s="7" t="str">
        <f>IFERROR(__xludf.DUMMYFUNCTION("""COMPUTED_VALUE"""),"Gerlingen")</f>
        <v>Gerlingen</v>
      </c>
      <c r="E905" s="7" t="str">
        <f>IFERROR(__xludf.DUMMYFUNCTION("""COMPUTED_VALUE"""),"Smart Digital GmbH")</f>
        <v>Smart Digital GmbH</v>
      </c>
      <c r="F905" s="7" t="str">
        <f>IFERROR(__xludf.DUMMYFUNCTION("""COMPUTED_VALUE"""),"None")</f>
        <v>None</v>
      </c>
      <c r="G905" s="7" t="str">
        <f>IFERROR(__xludf.DUMMYFUNCTION("""COMPUTED_VALUE"""),"No salary data")</f>
        <v>No salary data</v>
      </c>
      <c r="H905" s="7" t="str">
        <f>IFERROR(__xludf.DUMMYFUNCTION("""COMPUTED_VALUE"""),"No salary data")</f>
        <v>No salary data</v>
      </c>
      <c r="I905" s="7" t="str">
        <f>IFERROR(__xludf.DUMMYFUNCTION("""COMPUTED_VALUE"""),"No salary data")</f>
        <v>No salary data</v>
      </c>
      <c r="J905" s="7" t="str">
        <f>IFERROR(__xludf.DUMMYFUNCTION("""COMPUTED_VALUE"""),"Python, Machine Learning, Git")</f>
        <v>Python, Machine Learning, Git</v>
      </c>
      <c r="K905" s="7" t="str">
        <f>IFERROR(__xludf.DUMMYFUNCTION("""COMPUTED_VALUE"""),"Permanent")</f>
        <v>Permanent</v>
      </c>
      <c r="L905" s="7" t="str">
        <f>IFERROR(__xludf.DUMMYFUNCTION("""COMPUTED_VALUE"""),"None")</f>
        <v>None</v>
      </c>
      <c r="M905" s="7"/>
      <c r="N905" s="7"/>
      <c r="O905" s="7"/>
    </row>
    <row r="906">
      <c r="A906" s="29">
        <f>IFERROR(__xludf.DUMMYFUNCTION("""COMPUTED_VALUE"""),902.0)</f>
        <v>902</v>
      </c>
      <c r="B906" s="7" t="str">
        <f>IFERROR(__xludf.DUMMYFUNCTION("""COMPUTED_VALUE"""),"vor 14 Tagen")</f>
        <v>vor 14 Tagen</v>
      </c>
      <c r="C906" s="7" t="str">
        <f>IFERROR(__xludf.DUMMYFUNCTION("""COMPUTED_VALUE"""),"Junior Prozessmanager / Business Analyst (m/w/d) Schwerpunkt...")</f>
        <v>Junior Prozessmanager / Business Analyst (m/w/d) Schwerpunkt...</v>
      </c>
      <c r="D906" s="7" t="str">
        <f>IFERROR(__xludf.DUMMYFUNCTION("""COMPUTED_VALUE"""),"Pforzheim")</f>
        <v>Pforzheim</v>
      </c>
      <c r="E906" s="7" t="str">
        <f>IFERROR(__xludf.DUMMYFUNCTION("""COMPUTED_VALUE"""),"BRUNO BADER GmbH + Co. KG")</f>
        <v>BRUNO BADER GmbH + Co. KG</v>
      </c>
      <c r="F906" s="7" t="str">
        <f>IFERROR(__xludf.DUMMYFUNCTION("""COMPUTED_VALUE"""),"None")</f>
        <v>None</v>
      </c>
      <c r="G906" s="7" t="str">
        <f>IFERROR(__xludf.DUMMYFUNCTION("""COMPUTED_VALUE"""),"No salary data")</f>
        <v>No salary data</v>
      </c>
      <c r="H906" s="7" t="str">
        <f>IFERROR(__xludf.DUMMYFUNCTION("""COMPUTED_VALUE"""),"No salary data")</f>
        <v>No salary data</v>
      </c>
      <c r="I906" s="7" t="str">
        <f>IFERROR(__xludf.DUMMYFUNCTION("""COMPUTED_VALUE"""),"No salary data")</f>
        <v>No salary data</v>
      </c>
      <c r="J906" s="7" t="str">
        <f>IFERROR(__xludf.DUMMYFUNCTION("""COMPUTED_VALUE"""),"SQL, Excel")</f>
        <v>SQL, Excel</v>
      </c>
      <c r="K906" s="7" t="str">
        <f>IFERROR(__xludf.DUMMYFUNCTION("""COMPUTED_VALUE"""),"No job type data")</f>
        <v>No job type data</v>
      </c>
      <c r="L906" s="7" t="str">
        <f>IFERROR(__xludf.DUMMYFUNCTION("""COMPUTED_VALUE"""),"None")</f>
        <v>None</v>
      </c>
      <c r="M906" s="7"/>
      <c r="N906" s="7"/>
      <c r="O906" s="7"/>
    </row>
    <row r="907">
      <c r="A907" s="29">
        <f>IFERROR(__xludf.DUMMYFUNCTION("""COMPUTED_VALUE"""),903.0)</f>
        <v>903</v>
      </c>
      <c r="B907" s="7" t="str">
        <f>IFERROR(__xludf.DUMMYFUNCTION("""COMPUTED_VALUE"""),"Heute")</f>
        <v>Heute</v>
      </c>
      <c r="C907" s="7" t="str">
        <f>IFERROR(__xludf.DUMMYFUNCTION("""COMPUTED_VALUE"""),"Stress Engineer – Structure (m/f/d)")</f>
        <v>Stress Engineer – Structure (m/f/d)</v>
      </c>
      <c r="D907" s="7" t="str">
        <f>IFERROR(__xludf.DUMMYFUNCTION("""COMPUTED_VALUE"""),"München")</f>
        <v>München</v>
      </c>
      <c r="E907" s="7" t="str">
        <f>IFERROR(__xludf.DUMMYFUNCTION("""COMPUTED_VALUE"""),"Orizon GmbH")</f>
        <v>Orizon GmbH</v>
      </c>
      <c r="F907" s="7" t="str">
        <f>IFERROR(__xludf.DUMMYFUNCTION("""COMPUTED_VALUE"""),"None")</f>
        <v>None</v>
      </c>
      <c r="G907" s="7" t="str">
        <f>IFERROR(__xludf.DUMMYFUNCTION("""COMPUTED_VALUE"""),"No salary data")</f>
        <v>No salary data</v>
      </c>
      <c r="H907" s="7" t="str">
        <f>IFERROR(__xludf.DUMMYFUNCTION("""COMPUTED_VALUE"""),"No salary data")</f>
        <v>No salary data</v>
      </c>
      <c r="I907" s="7" t="str">
        <f>IFERROR(__xludf.DUMMYFUNCTION("""COMPUTED_VALUE"""),"No salary data")</f>
        <v>No salary data</v>
      </c>
      <c r="J907" s="7" t="str">
        <f>IFERROR(__xludf.DUMMYFUNCTION("""COMPUTED_VALUE"""),"Excel")</f>
        <v>Excel</v>
      </c>
      <c r="K907" s="7" t="str">
        <f>IFERROR(__xludf.DUMMYFUNCTION("""COMPUTED_VALUE"""),"No job type data")</f>
        <v>No job type data</v>
      </c>
      <c r="L907" s="7" t="str">
        <f>IFERROR(__xludf.DUMMYFUNCTION("""COMPUTED_VALUE"""),"3,3")</f>
        <v>3,3</v>
      </c>
      <c r="M907" s="7"/>
      <c r="N907" s="7"/>
      <c r="O907" s="7"/>
    </row>
    <row r="908">
      <c r="A908" s="29">
        <f>IFERROR(__xludf.DUMMYFUNCTION("""COMPUTED_VALUE"""),904.0)</f>
        <v>904</v>
      </c>
      <c r="B908" s="7" t="str">
        <f>IFERROR(__xludf.DUMMYFUNCTION("""COMPUTED_VALUE"""),"vor 11 Tagen")</f>
        <v>vor 11 Tagen</v>
      </c>
      <c r="C908" s="7" t="str">
        <f>IFERROR(__xludf.DUMMYFUNCTION("""COMPUTED_VALUE"""),"Direktvermittlung: Data Engineer (m/w/d) im Versicherungsumf...")</f>
        <v>Direktvermittlung: Data Engineer (m/w/d) im Versicherungsumf...</v>
      </c>
      <c r="D908" s="7" t="str">
        <f>IFERROR(__xludf.DUMMYFUNCTION("""COMPUTED_VALUE"""),"Hamburg")</f>
        <v>Hamburg</v>
      </c>
      <c r="E908" s="7" t="str">
        <f>IFERROR(__xludf.DUMMYFUNCTION("""COMPUTED_VALUE"""),"univativ GmbH")</f>
        <v>univativ GmbH</v>
      </c>
      <c r="F908" s="7" t="str">
        <f>IFERROR(__xludf.DUMMYFUNCTION("""COMPUTED_VALUE"""),"55,000 € - 65,000 € pro Jahr")</f>
        <v>55,000 € - 65,000 € pro Jahr</v>
      </c>
      <c r="G908" s="7">
        <f>IFERROR(__xludf.DUMMYFUNCTION("""COMPUTED_VALUE"""),60000.0)</f>
        <v>60000</v>
      </c>
      <c r="H908" s="7" t="str">
        <f>IFERROR(__xludf.DUMMYFUNCTION("""COMPUTED_VALUE"""),"Jahr")</f>
        <v>Jahr</v>
      </c>
      <c r="I908" s="7">
        <f>IFERROR(__xludf.DUMMYFUNCTION("""COMPUTED_VALUE"""),60000.0)</f>
        <v>60000</v>
      </c>
      <c r="J908" s="7" t="str">
        <f>IFERROR(__xludf.DUMMYFUNCTION("""COMPUTED_VALUE"""),"Python, SQL, Agile")</f>
        <v>Python, SQL, Agile</v>
      </c>
      <c r="K908" s="7" t="str">
        <f>IFERROR(__xludf.DUMMYFUNCTION("""COMPUTED_VALUE"""),"No job type data")</f>
        <v>No job type data</v>
      </c>
      <c r="L908" s="7" t="str">
        <f>IFERROR(__xludf.DUMMYFUNCTION("""COMPUTED_VALUE"""),"4,4")</f>
        <v>4,4</v>
      </c>
      <c r="M908" s="7"/>
      <c r="N908" s="7"/>
      <c r="O908" s="7"/>
    </row>
    <row r="909">
      <c r="A909" s="29">
        <f>IFERROR(__xludf.DUMMYFUNCTION("""COMPUTED_VALUE"""),905.0)</f>
        <v>905</v>
      </c>
      <c r="B909" s="7" t="str">
        <f>IFERROR(__xludf.DUMMYFUNCTION("""COMPUTED_VALUE"""),"vor 26 Tagen")</f>
        <v>vor 26 Tagen</v>
      </c>
      <c r="C909" s="7" t="str">
        <f>IFERROR(__xludf.DUMMYFUNCTION("""COMPUTED_VALUE"""),"Data Quality Manager (m/w/d)")</f>
        <v>Data Quality Manager (m/w/d)</v>
      </c>
      <c r="D909" s="7" t="str">
        <f>IFERROR(__xludf.DUMMYFUNCTION("""COMPUTED_VALUE"""),"Hamburg")</f>
        <v>Hamburg</v>
      </c>
      <c r="E909" s="7" t="str">
        <f>IFERROR(__xludf.DUMMYFUNCTION("""COMPUTED_VALUE"""),"Adecco Personaldienstleistungen GmbH")</f>
        <v>Adecco Personaldienstleistungen GmbH</v>
      </c>
      <c r="F909" s="7" t="str">
        <f>IFERROR(__xludf.DUMMYFUNCTION("""COMPUTED_VALUE"""),"None")</f>
        <v>None</v>
      </c>
      <c r="G909" s="7" t="str">
        <f>IFERROR(__xludf.DUMMYFUNCTION("""COMPUTED_VALUE"""),"No salary data")</f>
        <v>No salary data</v>
      </c>
      <c r="H909" s="7" t="str">
        <f>IFERROR(__xludf.DUMMYFUNCTION("""COMPUTED_VALUE"""),"No salary data")</f>
        <v>No salary data</v>
      </c>
      <c r="I909" s="7" t="str">
        <f>IFERROR(__xludf.DUMMYFUNCTION("""COMPUTED_VALUE"""),"No salary data")</f>
        <v>No salary data</v>
      </c>
      <c r="J909" s="7"/>
      <c r="K909" s="7" t="str">
        <f>IFERROR(__xludf.DUMMYFUNCTION("""COMPUTED_VALUE"""),"No job type data")</f>
        <v>No job type data</v>
      </c>
      <c r="L909" s="7" t="str">
        <f>IFERROR(__xludf.DUMMYFUNCTION("""COMPUTED_VALUE"""),"3,8")</f>
        <v>3,8</v>
      </c>
      <c r="M909" s="7"/>
      <c r="N909" s="7"/>
      <c r="O909" s="7"/>
    </row>
    <row r="910">
      <c r="A910" s="29">
        <f>IFERROR(__xludf.DUMMYFUNCTION("""COMPUTED_VALUE"""),906.0)</f>
        <v>906</v>
      </c>
      <c r="B910" s="7" t="str">
        <f>IFERROR(__xludf.DUMMYFUNCTION("""COMPUTED_VALUE"""),"vor 10 Tagen")</f>
        <v>vor 10 Tagen</v>
      </c>
      <c r="C910" s="7" t="str">
        <f>IFERROR(__xludf.DUMMYFUNCTION("""COMPUTED_VALUE"""),"Global Support Engineer (m/w/d)")</f>
        <v>Global Support Engineer (m/w/d)</v>
      </c>
      <c r="D910" s="7" t="str">
        <f>IFERROR(__xludf.DUMMYFUNCTION("""COMPUTED_VALUE"""),"München")</f>
        <v>München</v>
      </c>
      <c r="E910" s="7" t="str">
        <f>IFERROR(__xludf.DUMMYFUNCTION("""COMPUTED_VALUE"""),"Academic Work GmbH")</f>
        <v>Academic Work GmbH</v>
      </c>
      <c r="F910" s="7" t="str">
        <f>IFERROR(__xludf.DUMMYFUNCTION("""COMPUTED_VALUE"""),"None")</f>
        <v>None</v>
      </c>
      <c r="G910" s="7" t="str">
        <f>IFERROR(__xludf.DUMMYFUNCTION("""COMPUTED_VALUE"""),"No salary data")</f>
        <v>No salary data</v>
      </c>
      <c r="H910" s="7" t="str">
        <f>IFERROR(__xludf.DUMMYFUNCTION("""COMPUTED_VALUE"""),"No salary data")</f>
        <v>No salary data</v>
      </c>
      <c r="I910" s="7" t="str">
        <f>IFERROR(__xludf.DUMMYFUNCTION("""COMPUTED_VALUE"""),"No salary data")</f>
        <v>No salary data</v>
      </c>
      <c r="J910" s="7" t="str">
        <f>IFERROR(__xludf.DUMMYFUNCTION("""COMPUTED_VALUE"""),"SQL, Excel, Agile")</f>
        <v>SQL, Excel, Agile</v>
      </c>
      <c r="K910" s="7" t="str">
        <f>IFERROR(__xludf.DUMMYFUNCTION("""COMPUTED_VALUE"""),"No job type data")</f>
        <v>No job type data</v>
      </c>
      <c r="L910" s="7" t="str">
        <f>IFERROR(__xludf.DUMMYFUNCTION("""COMPUTED_VALUE"""),"3,3")</f>
        <v>3,3</v>
      </c>
      <c r="M910" s="7"/>
      <c r="N910" s="7"/>
      <c r="O910" s="7"/>
    </row>
    <row r="911">
      <c r="A911" s="29">
        <f>IFERROR(__xludf.DUMMYFUNCTION("""COMPUTED_VALUE"""),907.0)</f>
        <v>907</v>
      </c>
      <c r="B911" s="7" t="str">
        <f>IFERROR(__xludf.DUMMYFUNCTION("""COMPUTED_VALUE"""),"Vor mehr als 30 Tagen")</f>
        <v>Vor mehr als 30 Tagen</v>
      </c>
      <c r="C911" s="7" t="str">
        <f>IFERROR(__xludf.DUMMYFUNCTION("""COMPUTED_VALUE"""),"Data Engineer (M/W/D)")</f>
        <v>Data Engineer (M/W/D)</v>
      </c>
      <c r="D911" s="7" t="str">
        <f>IFERROR(__xludf.DUMMYFUNCTION("""COMPUTED_VALUE"""),"München")</f>
        <v>München</v>
      </c>
      <c r="E911" s="7" t="str">
        <f>IFERROR(__xludf.DUMMYFUNCTION("""COMPUTED_VALUE"""),"Condé Nast Germany GmbH")</f>
        <v>Condé Nast Germany GmbH</v>
      </c>
      <c r="F911" s="7" t="str">
        <f>IFERROR(__xludf.DUMMYFUNCTION("""COMPUTED_VALUE"""),"None")</f>
        <v>None</v>
      </c>
      <c r="G911" s="7" t="str">
        <f>IFERROR(__xludf.DUMMYFUNCTION("""COMPUTED_VALUE"""),"No salary data")</f>
        <v>No salary data</v>
      </c>
      <c r="H911" s="7" t="str">
        <f>IFERROR(__xludf.DUMMYFUNCTION("""COMPUTED_VALUE"""),"No salary data")</f>
        <v>No salary data</v>
      </c>
      <c r="I911" s="7" t="str">
        <f>IFERROR(__xludf.DUMMYFUNCTION("""COMPUTED_VALUE"""),"No salary data")</f>
        <v>No salary data</v>
      </c>
      <c r="J911" s="7" t="str">
        <f>IFERROR(__xludf.DUMMYFUNCTION("""COMPUTED_VALUE"""),"Python, Machine Learning, Git, Scrum")</f>
        <v>Python, Machine Learning, Git, Scrum</v>
      </c>
      <c r="K911" s="7" t="str">
        <f>IFERROR(__xludf.DUMMYFUNCTION("""COMPUTED_VALUE"""),"Permanent")</f>
        <v>Permanent</v>
      </c>
      <c r="L911" s="7" t="str">
        <f>IFERROR(__xludf.DUMMYFUNCTION("""COMPUTED_VALUE"""),"None")</f>
        <v>None</v>
      </c>
      <c r="M911" s="7"/>
      <c r="N911" s="7"/>
      <c r="O911" s="7"/>
    </row>
    <row r="912">
      <c r="A912" s="29">
        <f>IFERROR(__xludf.DUMMYFUNCTION("""COMPUTED_VALUE"""),908.0)</f>
        <v>908</v>
      </c>
      <c r="B912" s="7" t="str">
        <f>IFERROR(__xludf.DUMMYFUNCTION("""COMPUTED_VALUE"""),"Vor mehr als 30 Tagen")</f>
        <v>Vor mehr als 30 Tagen</v>
      </c>
      <c r="C912" s="7" t="str">
        <f>IFERROR(__xludf.DUMMYFUNCTION("""COMPUTED_VALUE"""),"Data Engineer (m/w/d)")</f>
        <v>Data Engineer (m/w/d)</v>
      </c>
      <c r="D912" s="7" t="str">
        <f>IFERROR(__xludf.DUMMYFUNCTION("""COMPUTED_VALUE"""),"Pforzheim")</f>
        <v>Pforzheim</v>
      </c>
      <c r="E912" s="7" t="str">
        <f>IFERROR(__xludf.DUMMYFUNCTION("""COMPUTED_VALUE"""),"BRUNO BADER GmbH + Co. KG")</f>
        <v>BRUNO BADER GmbH + Co. KG</v>
      </c>
      <c r="F912" s="7" t="str">
        <f>IFERROR(__xludf.DUMMYFUNCTION("""COMPUTED_VALUE"""),"None")</f>
        <v>None</v>
      </c>
      <c r="G912" s="7" t="str">
        <f>IFERROR(__xludf.DUMMYFUNCTION("""COMPUTED_VALUE"""),"No salary data")</f>
        <v>No salary data</v>
      </c>
      <c r="H912" s="7" t="str">
        <f>IFERROR(__xludf.DUMMYFUNCTION("""COMPUTED_VALUE"""),"No salary data")</f>
        <v>No salary data</v>
      </c>
      <c r="I912" s="7" t="str">
        <f>IFERROR(__xludf.DUMMYFUNCTION("""COMPUTED_VALUE"""),"No salary data")</f>
        <v>No salary data</v>
      </c>
      <c r="J912" s="7" t="str">
        <f>IFERROR(__xludf.DUMMYFUNCTION("""COMPUTED_VALUE"""),"SQL")</f>
        <v>SQL</v>
      </c>
      <c r="K912" s="7" t="str">
        <f>IFERROR(__xludf.DUMMYFUNCTION("""COMPUTED_VALUE"""),"No job type data")</f>
        <v>No job type data</v>
      </c>
      <c r="L912" s="7" t="str">
        <f>IFERROR(__xludf.DUMMYFUNCTION("""COMPUTED_VALUE"""),"None")</f>
        <v>None</v>
      </c>
      <c r="M912" s="7"/>
      <c r="N912" s="7"/>
      <c r="O912" s="7"/>
    </row>
    <row r="913">
      <c r="A913" s="29">
        <f>IFERROR(__xludf.DUMMYFUNCTION("""COMPUTED_VALUE"""),909.0)</f>
        <v>909</v>
      </c>
      <c r="B913" s="7" t="str">
        <f>IFERROR(__xludf.DUMMYFUNCTION("""COMPUTED_VALUE"""),"vor 13 Tagen")</f>
        <v>vor 13 Tagen</v>
      </c>
      <c r="C913" s="7" t="str">
        <f>IFERROR(__xludf.DUMMYFUNCTION("""COMPUTED_VALUE"""),"Marketing Data Analyst (m/w/d)")</f>
        <v>Marketing Data Analyst (m/w/d)</v>
      </c>
      <c r="D913" s="7" t="str">
        <f>IFERROR(__xludf.DUMMYFUNCTION("""COMPUTED_VALUE"""),"Köln")</f>
        <v>Köln</v>
      </c>
      <c r="E913" s="7" t="str">
        <f>IFERROR(__xludf.DUMMYFUNCTION("""COMPUTED_VALUE"""),"Lehmanns Media GmbH")</f>
        <v>Lehmanns Media GmbH</v>
      </c>
      <c r="F913" s="7" t="str">
        <f>IFERROR(__xludf.DUMMYFUNCTION("""COMPUTED_VALUE"""),"None")</f>
        <v>None</v>
      </c>
      <c r="G913" s="7" t="str">
        <f>IFERROR(__xludf.DUMMYFUNCTION("""COMPUTED_VALUE"""),"No salary data")</f>
        <v>No salary data</v>
      </c>
      <c r="H913" s="7" t="str">
        <f>IFERROR(__xludf.DUMMYFUNCTION("""COMPUTED_VALUE"""),"No salary data")</f>
        <v>No salary data</v>
      </c>
      <c r="I913" s="7" t="str">
        <f>IFERROR(__xludf.DUMMYFUNCTION("""COMPUTED_VALUE"""),"No salary data")</f>
        <v>No salary data</v>
      </c>
      <c r="J913" s="7" t="str">
        <f>IFERROR(__xludf.DUMMYFUNCTION("""COMPUTED_VALUE"""),"Git")</f>
        <v>Git</v>
      </c>
      <c r="K913" s="7" t="str">
        <f>IFERROR(__xludf.DUMMYFUNCTION("""COMPUTED_VALUE"""),"No job type data")</f>
        <v>No job type data</v>
      </c>
      <c r="L913" s="7" t="str">
        <f>IFERROR(__xludf.DUMMYFUNCTION("""COMPUTED_VALUE"""),"None")</f>
        <v>None</v>
      </c>
      <c r="M913" s="7"/>
      <c r="N913" s="7"/>
      <c r="O913" s="7"/>
    </row>
    <row r="914">
      <c r="A914" s="29">
        <f>IFERROR(__xludf.DUMMYFUNCTION("""COMPUTED_VALUE"""),910.0)</f>
        <v>910</v>
      </c>
      <c r="B914" s="7" t="str">
        <f>IFERROR(__xludf.DUMMYFUNCTION("""COMPUTED_VALUE"""),"vor 3 Tagen")</f>
        <v>vor 3 Tagen</v>
      </c>
      <c r="C914" s="7" t="str">
        <f>IFERROR(__xludf.DUMMYFUNCTION("""COMPUTED_VALUE"""),"Junior Marketing Consultant (m/w/d) Brand Manager FMCG in Di...")</f>
        <v>Junior Marketing Consultant (m/w/d) Brand Manager FMCG in Di...</v>
      </c>
      <c r="D914" s="7" t="str">
        <f>IFERROR(__xludf.DUMMYFUNCTION("""COMPUTED_VALUE"""),"Bad Homburg vor der Höhe")</f>
        <v>Bad Homburg vor der Höhe</v>
      </c>
      <c r="E914" s="7" t="str">
        <f>IFERROR(__xludf.DUMMYFUNCTION("""COMPUTED_VALUE"""),"a-team Personalmanagement")</f>
        <v>a-team Personalmanagement</v>
      </c>
      <c r="F914" s="7" t="str">
        <f>IFERROR(__xludf.DUMMYFUNCTION("""COMPUTED_VALUE"""),"None")</f>
        <v>None</v>
      </c>
      <c r="G914" s="7" t="str">
        <f>IFERROR(__xludf.DUMMYFUNCTION("""COMPUTED_VALUE"""),"No salary data")</f>
        <v>No salary data</v>
      </c>
      <c r="H914" s="7" t="str">
        <f>IFERROR(__xludf.DUMMYFUNCTION("""COMPUTED_VALUE"""),"No salary data")</f>
        <v>No salary data</v>
      </c>
      <c r="I914" s="7" t="str">
        <f>IFERROR(__xludf.DUMMYFUNCTION("""COMPUTED_VALUE"""),"No salary data")</f>
        <v>No salary data</v>
      </c>
      <c r="J914" s="7" t="str">
        <f>IFERROR(__xludf.DUMMYFUNCTION("""COMPUTED_VALUE"""),"Excel")</f>
        <v>Excel</v>
      </c>
      <c r="K914" s="7" t="str">
        <f>IFERROR(__xludf.DUMMYFUNCTION("""COMPUTED_VALUE"""),"No job type data")</f>
        <v>No job type data</v>
      </c>
      <c r="L914" s="7" t="str">
        <f>IFERROR(__xludf.DUMMYFUNCTION("""COMPUTED_VALUE"""),"5,0")</f>
        <v>5,0</v>
      </c>
      <c r="M914" s="7"/>
      <c r="N914" s="7"/>
      <c r="O914" s="7"/>
    </row>
    <row r="915">
      <c r="A915" s="29">
        <f>IFERROR(__xludf.DUMMYFUNCTION("""COMPUTED_VALUE"""),911.0)</f>
        <v>911</v>
      </c>
      <c r="B915" s="7" t="str">
        <f>IFERROR(__xludf.DUMMYFUNCTION("""COMPUTED_VALUE"""),"vor 1 Tag")</f>
        <v>vor 1 Tag</v>
      </c>
      <c r="C915" s="7" t="str">
        <f>IFERROR(__xludf.DUMMYFUNCTION("""COMPUTED_VALUE"""),"Dualer Student (m/w/d) Informatik mit Schwerpunkt Computatio...")</f>
        <v>Dualer Student (m/w/d) Informatik mit Schwerpunkt Computatio...</v>
      </c>
      <c r="D915" s="7" t="str">
        <f>IFERROR(__xludf.DUMMYFUNCTION("""COMPUTED_VALUE"""),"Düsseldorf")</f>
        <v>Düsseldorf</v>
      </c>
      <c r="E915" s="7" t="str">
        <f>IFERROR(__xludf.DUMMYFUNCTION("""COMPUTED_VALUE"""),"Vodafone Deutschland")</f>
        <v>Vodafone Deutschland</v>
      </c>
      <c r="F915" s="7" t="str">
        <f>IFERROR(__xludf.DUMMYFUNCTION("""COMPUTED_VALUE"""),"None")</f>
        <v>None</v>
      </c>
      <c r="G915" s="7" t="str">
        <f>IFERROR(__xludf.DUMMYFUNCTION("""COMPUTED_VALUE"""),"No salary data")</f>
        <v>No salary data</v>
      </c>
      <c r="H915" s="7" t="str">
        <f>IFERROR(__xludf.DUMMYFUNCTION("""COMPUTED_VALUE"""),"No salary data")</f>
        <v>No salary data</v>
      </c>
      <c r="I915" s="7" t="str">
        <f>IFERROR(__xludf.DUMMYFUNCTION("""COMPUTED_VALUE"""),"No salary data")</f>
        <v>No salary data</v>
      </c>
      <c r="J915" s="7" t="str">
        <f>IFERROR(__xludf.DUMMYFUNCTION("""COMPUTED_VALUE"""),"SQL, Machine Learning, Git")</f>
        <v>SQL, Machine Learning, Git</v>
      </c>
      <c r="K915" s="7" t="str">
        <f>IFERROR(__xludf.DUMMYFUNCTION("""COMPUTED_VALUE"""),"No job type data")</f>
        <v>No job type data</v>
      </c>
      <c r="L915" s="7" t="str">
        <f>IFERROR(__xludf.DUMMYFUNCTION("""COMPUTED_VALUE"""),"4,0")</f>
        <v>4,0</v>
      </c>
      <c r="M915" s="7"/>
      <c r="N915" s="7"/>
      <c r="O915" s="7"/>
    </row>
    <row r="916">
      <c r="A916" s="29">
        <f>IFERROR(__xludf.DUMMYFUNCTION("""COMPUTED_VALUE"""),912.0)</f>
        <v>912</v>
      </c>
      <c r="B916" s="7" t="str">
        <f>IFERROR(__xludf.DUMMYFUNCTION("""COMPUTED_VALUE"""),"vor 5 Tagen")</f>
        <v>vor 5 Tagen</v>
      </c>
      <c r="C916" s="7" t="str">
        <f>IFERROR(__xludf.DUMMYFUNCTION("""COMPUTED_VALUE"""),"Data Analyst / Controller (m/w/d) - Teilzeit")</f>
        <v>Data Analyst / Controller (m/w/d) - Teilzeit</v>
      </c>
      <c r="D916" s="7" t="str">
        <f>IFERROR(__xludf.DUMMYFUNCTION("""COMPUTED_VALUE"""),"Feldkirchen")</f>
        <v>Feldkirchen</v>
      </c>
      <c r="E916" s="7" t="str">
        <f>IFERROR(__xludf.DUMMYFUNCTION("""COMPUTED_VALUE"""),"Nanotec Electronic GmbH und Co. KG")</f>
        <v>Nanotec Electronic GmbH und Co. KG</v>
      </c>
      <c r="F916" s="7" t="str">
        <f>IFERROR(__xludf.DUMMYFUNCTION("""COMPUTED_VALUE"""),"None")</f>
        <v>None</v>
      </c>
      <c r="G916" s="7" t="str">
        <f>IFERROR(__xludf.DUMMYFUNCTION("""COMPUTED_VALUE"""),"No salary data")</f>
        <v>No salary data</v>
      </c>
      <c r="H916" s="7" t="str">
        <f>IFERROR(__xludf.DUMMYFUNCTION("""COMPUTED_VALUE"""),"No salary data")</f>
        <v>No salary data</v>
      </c>
      <c r="I916" s="7" t="str">
        <f>IFERROR(__xludf.DUMMYFUNCTION("""COMPUTED_VALUE"""),"No salary data")</f>
        <v>No salary data</v>
      </c>
      <c r="J916" s="7" t="str">
        <f>IFERROR(__xludf.DUMMYFUNCTION("""COMPUTED_VALUE"""),"SQL, Excel")</f>
        <v>SQL, Excel</v>
      </c>
      <c r="K916" s="7" t="str">
        <f>IFERROR(__xludf.DUMMYFUNCTION("""COMPUTED_VALUE"""),"No job type data")</f>
        <v>No job type data</v>
      </c>
      <c r="L916" s="7" t="str">
        <f>IFERROR(__xludf.DUMMYFUNCTION("""COMPUTED_VALUE"""),"None")</f>
        <v>None</v>
      </c>
      <c r="M916" s="7"/>
      <c r="N916" s="7"/>
      <c r="O916" s="7"/>
    </row>
    <row r="917">
      <c r="A917" s="29">
        <f>IFERROR(__xludf.DUMMYFUNCTION("""COMPUTED_VALUE"""),913.0)</f>
        <v>913</v>
      </c>
      <c r="B917" s="7" t="str">
        <f>IFERROR(__xludf.DUMMYFUNCTION("""COMPUTED_VALUE"""),"vor 24 Tagen")</f>
        <v>vor 24 Tagen</v>
      </c>
      <c r="C917" s="7" t="str">
        <f>IFERROR(__xludf.DUMMYFUNCTION("""COMPUTED_VALUE"""),"Duales Studium Wirtschaftsinformatik B.Sc. – Fachrichtung Da...")</f>
        <v>Duales Studium Wirtschaftsinformatik B.Sc. – Fachrichtung Da...</v>
      </c>
      <c r="D917" s="7" t="str">
        <f>IFERROR(__xludf.DUMMYFUNCTION("""COMPUTED_VALUE"""),"Stuttgart")</f>
        <v>Stuttgart</v>
      </c>
      <c r="E917" s="7" t="str">
        <f>IFERROR(__xludf.DUMMYFUNCTION("""COMPUTED_VALUE"""),"Komm.ONE")</f>
        <v>Komm.ONE</v>
      </c>
      <c r="F917" s="7" t="str">
        <f>IFERROR(__xludf.DUMMYFUNCTION("""COMPUTED_VALUE"""),"None")</f>
        <v>None</v>
      </c>
      <c r="G917" s="7" t="str">
        <f>IFERROR(__xludf.DUMMYFUNCTION("""COMPUTED_VALUE"""),"No salary data")</f>
        <v>No salary data</v>
      </c>
      <c r="H917" s="7" t="str">
        <f>IFERROR(__xludf.DUMMYFUNCTION("""COMPUTED_VALUE"""),"No salary data")</f>
        <v>No salary data</v>
      </c>
      <c r="I917" s="7" t="str">
        <f>IFERROR(__xludf.DUMMYFUNCTION("""COMPUTED_VALUE"""),"No salary data")</f>
        <v>No salary data</v>
      </c>
      <c r="J917" s="7"/>
      <c r="K917" s="7" t="str">
        <f>IFERROR(__xludf.DUMMYFUNCTION("""COMPUTED_VALUE"""),"No job type data")</f>
        <v>No job type data</v>
      </c>
      <c r="L917" s="7" t="str">
        <f>IFERROR(__xludf.DUMMYFUNCTION("""COMPUTED_VALUE"""),"None")</f>
        <v>None</v>
      </c>
      <c r="M917" s="7"/>
      <c r="N917" s="7"/>
      <c r="O917" s="7"/>
    </row>
    <row r="918">
      <c r="A918" s="29">
        <f>IFERROR(__xludf.DUMMYFUNCTION("""COMPUTED_VALUE"""),914.0)</f>
        <v>914</v>
      </c>
      <c r="B918" s="7" t="str">
        <f>IFERROR(__xludf.DUMMYFUNCTION("""COMPUTED_VALUE"""),"vor 2 Tagen")</f>
        <v>vor 2 Tagen</v>
      </c>
      <c r="C918" s="7" t="str">
        <f>IFERROR(__xludf.DUMMYFUNCTION("""COMPUTED_VALUE"""),"Impact Evaluation/Data Manager (m/w/d) für Entwicklungsproje...")</f>
        <v>Impact Evaluation/Data Manager (m/w/d) für Entwicklungsproje...</v>
      </c>
      <c r="D918" s="7" t="str">
        <f>IFERROR(__xludf.DUMMYFUNCTION("""COMPUTED_VALUE"""),"Hamburg")</f>
        <v>Hamburg</v>
      </c>
      <c r="E918" s="7" t="str">
        <f>IFERROR(__xludf.DUMMYFUNCTION("""COMPUTED_VALUE"""),"Max und Ingeburg Herz Stiftung (MIHS)")</f>
        <v>Max und Ingeburg Herz Stiftung (MIHS)</v>
      </c>
      <c r="F918" s="7" t="str">
        <f>IFERROR(__xludf.DUMMYFUNCTION("""COMPUTED_VALUE"""),"None")</f>
        <v>None</v>
      </c>
      <c r="G918" s="7" t="str">
        <f>IFERROR(__xludf.DUMMYFUNCTION("""COMPUTED_VALUE"""),"No salary data")</f>
        <v>No salary data</v>
      </c>
      <c r="H918" s="7" t="str">
        <f>IFERROR(__xludf.DUMMYFUNCTION("""COMPUTED_VALUE"""),"No salary data")</f>
        <v>No salary data</v>
      </c>
      <c r="I918" s="7" t="str">
        <f>IFERROR(__xludf.DUMMYFUNCTION("""COMPUTED_VALUE"""),"No salary data")</f>
        <v>No salary data</v>
      </c>
      <c r="J918" s="7" t="str">
        <f>IFERROR(__xludf.DUMMYFUNCTION("""COMPUTED_VALUE"""),"SQL")</f>
        <v>SQL</v>
      </c>
      <c r="K918" s="7" t="str">
        <f>IFERROR(__xludf.DUMMYFUNCTION("""COMPUTED_VALUE"""),"No job type data")</f>
        <v>No job type data</v>
      </c>
      <c r="L918" s="7" t="str">
        <f>IFERROR(__xludf.DUMMYFUNCTION("""COMPUTED_VALUE"""),"None")</f>
        <v>None</v>
      </c>
      <c r="M918" s="7"/>
      <c r="N918" s="7"/>
      <c r="O918" s="7"/>
    </row>
    <row r="919">
      <c r="A919" s="29">
        <f>IFERROR(__xludf.DUMMYFUNCTION("""COMPUTED_VALUE"""),915.0)</f>
        <v>915</v>
      </c>
      <c r="B919" s="7" t="str">
        <f>IFERROR(__xludf.DUMMYFUNCTION("""COMPUTED_VALUE"""),"vor 13 Tagen")</f>
        <v>vor 13 Tagen</v>
      </c>
      <c r="C919" s="7" t="str">
        <f>IFERROR(__xludf.DUMMYFUNCTION("""COMPUTED_VALUE"""),"Marketing Data Analyst (m/w/d)")</f>
        <v>Marketing Data Analyst (m/w/d)</v>
      </c>
      <c r="D919" s="7" t="str">
        <f>IFERROR(__xludf.DUMMYFUNCTION("""COMPUTED_VALUE"""),"Köln")</f>
        <v>Köln</v>
      </c>
      <c r="E919" s="7" t="str">
        <f>IFERROR(__xludf.DUMMYFUNCTION("""COMPUTED_VALUE"""),"Lehmanns Media GmbH")</f>
        <v>Lehmanns Media GmbH</v>
      </c>
      <c r="F919" s="7" t="str">
        <f>IFERROR(__xludf.DUMMYFUNCTION("""COMPUTED_VALUE"""),"None")</f>
        <v>None</v>
      </c>
      <c r="G919" s="7" t="str">
        <f>IFERROR(__xludf.DUMMYFUNCTION("""COMPUTED_VALUE"""),"No salary data")</f>
        <v>No salary data</v>
      </c>
      <c r="H919" s="7" t="str">
        <f>IFERROR(__xludf.DUMMYFUNCTION("""COMPUTED_VALUE"""),"No salary data")</f>
        <v>No salary data</v>
      </c>
      <c r="I919" s="7" t="str">
        <f>IFERROR(__xludf.DUMMYFUNCTION("""COMPUTED_VALUE"""),"No salary data")</f>
        <v>No salary data</v>
      </c>
      <c r="J919" s="7" t="str">
        <f>IFERROR(__xludf.DUMMYFUNCTION("""COMPUTED_VALUE"""),"Git")</f>
        <v>Git</v>
      </c>
      <c r="K919" s="7" t="str">
        <f>IFERROR(__xludf.DUMMYFUNCTION("""COMPUTED_VALUE"""),"No job type data")</f>
        <v>No job type data</v>
      </c>
      <c r="L919" s="7" t="str">
        <f>IFERROR(__xludf.DUMMYFUNCTION("""COMPUTED_VALUE"""),"None")</f>
        <v>None</v>
      </c>
      <c r="M919" s="7"/>
      <c r="N919" s="7"/>
      <c r="O919" s="7"/>
    </row>
    <row r="920">
      <c r="A920" s="29">
        <f>IFERROR(__xludf.DUMMYFUNCTION("""COMPUTED_VALUE"""),916.0)</f>
        <v>916</v>
      </c>
      <c r="B920" s="7" t="str">
        <f>IFERROR(__xludf.DUMMYFUNCTION("""COMPUTED_VALUE"""),"vor 3 Tagen")</f>
        <v>vor 3 Tagen</v>
      </c>
      <c r="C920" s="7" t="str">
        <f>IFERROR(__xludf.DUMMYFUNCTION("""COMPUTED_VALUE"""),"Junior Marketing Consultant (m/w/d) Brand Manager FMCG in Di...")</f>
        <v>Junior Marketing Consultant (m/w/d) Brand Manager FMCG in Di...</v>
      </c>
      <c r="D920" s="7" t="str">
        <f>IFERROR(__xludf.DUMMYFUNCTION("""COMPUTED_VALUE"""),"Bad Homburg vor der Höhe")</f>
        <v>Bad Homburg vor der Höhe</v>
      </c>
      <c r="E920" s="7" t="str">
        <f>IFERROR(__xludf.DUMMYFUNCTION("""COMPUTED_VALUE"""),"a-team Personalmanagement")</f>
        <v>a-team Personalmanagement</v>
      </c>
      <c r="F920" s="7" t="str">
        <f>IFERROR(__xludf.DUMMYFUNCTION("""COMPUTED_VALUE"""),"None")</f>
        <v>None</v>
      </c>
      <c r="G920" s="7" t="str">
        <f>IFERROR(__xludf.DUMMYFUNCTION("""COMPUTED_VALUE"""),"No salary data")</f>
        <v>No salary data</v>
      </c>
      <c r="H920" s="7" t="str">
        <f>IFERROR(__xludf.DUMMYFUNCTION("""COMPUTED_VALUE"""),"No salary data")</f>
        <v>No salary data</v>
      </c>
      <c r="I920" s="7" t="str">
        <f>IFERROR(__xludf.DUMMYFUNCTION("""COMPUTED_VALUE"""),"No salary data")</f>
        <v>No salary data</v>
      </c>
      <c r="J920" s="7" t="str">
        <f>IFERROR(__xludf.DUMMYFUNCTION("""COMPUTED_VALUE"""),"Excel")</f>
        <v>Excel</v>
      </c>
      <c r="K920" s="7" t="str">
        <f>IFERROR(__xludf.DUMMYFUNCTION("""COMPUTED_VALUE"""),"No job type data")</f>
        <v>No job type data</v>
      </c>
      <c r="L920" s="7" t="str">
        <f>IFERROR(__xludf.DUMMYFUNCTION("""COMPUTED_VALUE"""),"5,0")</f>
        <v>5,0</v>
      </c>
      <c r="M920" s="7"/>
      <c r="N920" s="7"/>
      <c r="O920" s="7"/>
    </row>
    <row r="921">
      <c r="A921" s="29">
        <f>IFERROR(__xludf.DUMMYFUNCTION("""COMPUTED_VALUE"""),917.0)</f>
        <v>917</v>
      </c>
      <c r="B921" s="7" t="str">
        <f>IFERROR(__xludf.DUMMYFUNCTION("""COMPUTED_VALUE"""),"vor 12 Tagen")</f>
        <v>vor 12 Tagen</v>
      </c>
      <c r="C921" s="7" t="str">
        <f>IFERROR(__xludf.DUMMYFUNCTION("""COMPUTED_VALUE"""),"Daten Analyst im medizinischen Forschungsbereich")</f>
        <v>Daten Analyst im medizinischen Forschungsbereich</v>
      </c>
      <c r="D921" s="7" t="str">
        <f>IFERROR(__xludf.DUMMYFUNCTION("""COMPUTED_VALUE"""),"Berlin")</f>
        <v>Berlin</v>
      </c>
      <c r="E921" s="7" t="str">
        <f>IFERROR(__xludf.DUMMYFUNCTION("""COMPUTED_VALUE"""),"Brunel")</f>
        <v>Brunel</v>
      </c>
      <c r="F921" s="7" t="str">
        <f>IFERROR(__xludf.DUMMYFUNCTION("""COMPUTED_VALUE"""),"None")</f>
        <v>None</v>
      </c>
      <c r="G921" s="7" t="str">
        <f>IFERROR(__xludf.DUMMYFUNCTION("""COMPUTED_VALUE"""),"No salary data")</f>
        <v>No salary data</v>
      </c>
      <c r="H921" s="7" t="str">
        <f>IFERROR(__xludf.DUMMYFUNCTION("""COMPUTED_VALUE"""),"No salary data")</f>
        <v>No salary data</v>
      </c>
      <c r="I921" s="7" t="str">
        <f>IFERROR(__xludf.DUMMYFUNCTION("""COMPUTED_VALUE"""),"No salary data")</f>
        <v>No salary data</v>
      </c>
      <c r="J921" s="7"/>
      <c r="K921" s="7" t="str">
        <f>IFERROR(__xludf.DUMMYFUNCTION("""COMPUTED_VALUE"""),"No job type data")</f>
        <v>No job type data</v>
      </c>
      <c r="L921" s="7" t="str">
        <f>IFERROR(__xludf.DUMMYFUNCTION("""COMPUTED_VALUE"""),"3,9")</f>
        <v>3,9</v>
      </c>
      <c r="M921" s="7"/>
      <c r="N921" s="7"/>
      <c r="O921" s="7"/>
    </row>
    <row r="922">
      <c r="A922" s="29">
        <f>IFERROR(__xludf.DUMMYFUNCTION("""COMPUTED_VALUE"""),918.0)</f>
        <v>918</v>
      </c>
      <c r="B922" s="7" t="str">
        <f>IFERROR(__xludf.DUMMYFUNCTION("""COMPUTED_VALUE"""),"vor 10 Tagen")</f>
        <v>vor 10 Tagen</v>
      </c>
      <c r="C922" s="7" t="str">
        <f>IFERROR(__xludf.DUMMYFUNCTION("""COMPUTED_VALUE"""),"Vertriebscontroller (m/w/d)")</f>
        <v>Vertriebscontroller (m/w/d)</v>
      </c>
      <c r="D922" s="7" t="str">
        <f>IFERROR(__xludf.DUMMYFUNCTION("""COMPUTED_VALUE"""),"Frankfurt am Main")</f>
        <v>Frankfurt am Main</v>
      </c>
      <c r="E922" s="7" t="str">
        <f>IFERROR(__xludf.DUMMYFUNCTION("""COMPUTED_VALUE"""),"James Woodman")</f>
        <v>James Woodman</v>
      </c>
      <c r="F922" s="7" t="str">
        <f>IFERROR(__xludf.DUMMYFUNCTION("""COMPUTED_VALUE"""),"60,000 € - 70,000 € pro Jahr")</f>
        <v>60,000 € - 70,000 € pro Jahr</v>
      </c>
      <c r="G922" s="7">
        <f>IFERROR(__xludf.DUMMYFUNCTION("""COMPUTED_VALUE"""),65000.0)</f>
        <v>65000</v>
      </c>
      <c r="H922" s="7" t="str">
        <f>IFERROR(__xludf.DUMMYFUNCTION("""COMPUTED_VALUE"""),"Jahr")</f>
        <v>Jahr</v>
      </c>
      <c r="I922" s="7">
        <f>IFERROR(__xludf.DUMMYFUNCTION("""COMPUTED_VALUE"""),65000.0)</f>
        <v>65000</v>
      </c>
      <c r="J922" s="7" t="str">
        <f>IFERROR(__xludf.DUMMYFUNCTION("""COMPUTED_VALUE"""),"Excel")</f>
        <v>Excel</v>
      </c>
      <c r="K922" s="7" t="str">
        <f>IFERROR(__xludf.DUMMYFUNCTION("""COMPUTED_VALUE"""),"No job type data")</f>
        <v>No job type data</v>
      </c>
      <c r="L922" s="7" t="str">
        <f>IFERROR(__xludf.DUMMYFUNCTION("""COMPUTED_VALUE"""),"4,8")</f>
        <v>4,8</v>
      </c>
      <c r="M922" s="7"/>
      <c r="N922" s="7"/>
      <c r="O922" s="7"/>
    </row>
    <row r="923">
      <c r="A923" s="29">
        <f>IFERROR(__xludf.DUMMYFUNCTION("""COMPUTED_VALUE"""),919.0)</f>
        <v>919</v>
      </c>
      <c r="B923" s="7" t="str">
        <f>IFERROR(__xludf.DUMMYFUNCTION("""COMPUTED_VALUE"""),"vor 5 Tagen")</f>
        <v>vor 5 Tagen</v>
      </c>
      <c r="C923" s="7" t="str">
        <f>IFERROR(__xludf.DUMMYFUNCTION("""COMPUTED_VALUE"""),"Data Analyst / Controller (m/w/d) - Teilzeit")</f>
        <v>Data Analyst / Controller (m/w/d) - Teilzeit</v>
      </c>
      <c r="D923" s="7" t="str">
        <f>IFERROR(__xludf.DUMMYFUNCTION("""COMPUTED_VALUE"""),"Feldkirchen")</f>
        <v>Feldkirchen</v>
      </c>
      <c r="E923" s="7" t="str">
        <f>IFERROR(__xludf.DUMMYFUNCTION("""COMPUTED_VALUE"""),"Nanotec Electronic GmbH und Co. KG")</f>
        <v>Nanotec Electronic GmbH und Co. KG</v>
      </c>
      <c r="F923" s="7" t="str">
        <f>IFERROR(__xludf.DUMMYFUNCTION("""COMPUTED_VALUE"""),"None")</f>
        <v>None</v>
      </c>
      <c r="G923" s="7" t="str">
        <f>IFERROR(__xludf.DUMMYFUNCTION("""COMPUTED_VALUE"""),"No salary data")</f>
        <v>No salary data</v>
      </c>
      <c r="H923" s="7" t="str">
        <f>IFERROR(__xludf.DUMMYFUNCTION("""COMPUTED_VALUE"""),"No salary data")</f>
        <v>No salary data</v>
      </c>
      <c r="I923" s="7" t="str">
        <f>IFERROR(__xludf.DUMMYFUNCTION("""COMPUTED_VALUE"""),"No salary data")</f>
        <v>No salary data</v>
      </c>
      <c r="J923" s="7" t="str">
        <f>IFERROR(__xludf.DUMMYFUNCTION("""COMPUTED_VALUE"""),"SQL, Excel")</f>
        <v>SQL, Excel</v>
      </c>
      <c r="K923" s="7" t="str">
        <f>IFERROR(__xludf.DUMMYFUNCTION("""COMPUTED_VALUE"""),"No job type data")</f>
        <v>No job type data</v>
      </c>
      <c r="L923" s="7" t="str">
        <f>IFERROR(__xludf.DUMMYFUNCTION("""COMPUTED_VALUE"""),"None")</f>
        <v>None</v>
      </c>
      <c r="M923" s="7"/>
      <c r="N923" s="7"/>
      <c r="O923" s="7"/>
    </row>
    <row r="924">
      <c r="A924" s="29">
        <f>IFERROR(__xludf.DUMMYFUNCTION("""COMPUTED_VALUE"""),920.0)</f>
        <v>920</v>
      </c>
      <c r="B924" s="7" t="str">
        <f>IFERROR(__xludf.DUMMYFUNCTION("""COMPUTED_VALUE"""),"vor 12 Tagen")</f>
        <v>vor 12 Tagen</v>
      </c>
      <c r="C924" s="7" t="str">
        <f>IFERROR(__xludf.DUMMYFUNCTION("""COMPUTED_VALUE"""),"Business Intelligence Developer/Data Warehouse (m/w/d)")</f>
        <v>Business Intelligence Developer/Data Warehouse (m/w/d)</v>
      </c>
      <c r="D924" s="7" t="str">
        <f>IFERROR(__xludf.DUMMYFUNCTION("""COMPUTED_VALUE"""),"Nürnberg")</f>
        <v>Nürnberg</v>
      </c>
      <c r="E924" s="7" t="str">
        <f>IFERROR(__xludf.DUMMYFUNCTION("""COMPUTED_VALUE"""),"Immowelt AG")</f>
        <v>Immowelt AG</v>
      </c>
      <c r="F924" s="7" t="str">
        <f>IFERROR(__xludf.DUMMYFUNCTION("""COMPUTED_VALUE"""),"None")</f>
        <v>None</v>
      </c>
      <c r="G924" s="7" t="str">
        <f>IFERROR(__xludf.DUMMYFUNCTION("""COMPUTED_VALUE"""),"No salary data")</f>
        <v>No salary data</v>
      </c>
      <c r="H924" s="7" t="str">
        <f>IFERROR(__xludf.DUMMYFUNCTION("""COMPUTED_VALUE"""),"No salary data")</f>
        <v>No salary data</v>
      </c>
      <c r="I924" s="7" t="str">
        <f>IFERROR(__xludf.DUMMYFUNCTION("""COMPUTED_VALUE"""),"No salary data")</f>
        <v>No salary data</v>
      </c>
      <c r="J924" s="7" t="str">
        <f>IFERROR(__xludf.DUMMYFUNCTION("""COMPUTED_VALUE"""),"Python, SQL")</f>
        <v>Python, SQL</v>
      </c>
      <c r="K924" s="7" t="str">
        <f>IFERROR(__xludf.DUMMYFUNCTION("""COMPUTED_VALUE"""),"No job type data")</f>
        <v>No job type data</v>
      </c>
      <c r="L924" s="7" t="str">
        <f>IFERROR(__xludf.DUMMYFUNCTION("""COMPUTED_VALUE"""),"3,5")</f>
        <v>3,5</v>
      </c>
      <c r="M924" s="7"/>
      <c r="N924" s="7"/>
      <c r="O924" s="7"/>
    </row>
    <row r="925">
      <c r="A925" s="29">
        <f>IFERROR(__xludf.DUMMYFUNCTION("""COMPUTED_VALUE"""),921.0)</f>
        <v>921</v>
      </c>
      <c r="B925" s="7" t="str">
        <f>IFERROR(__xludf.DUMMYFUNCTION("""COMPUTED_VALUE"""),"vor 6 Tagen")</f>
        <v>vor 6 Tagen</v>
      </c>
      <c r="C925" s="7" t="str">
        <f>IFERROR(__xludf.DUMMYFUNCTION("""COMPUTED_VALUE"""),"Mitarbeiter (m/w/d) Business Application Management - Schwer...")</f>
        <v>Mitarbeiter (m/w/d) Business Application Management - Schwer...</v>
      </c>
      <c r="D925" s="7" t="str">
        <f>IFERROR(__xludf.DUMMYFUNCTION("""COMPUTED_VALUE"""),"Emlichheim")</f>
        <v>Emlichheim</v>
      </c>
      <c r="E925" s="7" t="str">
        <f>IFERROR(__xludf.DUMMYFUNCTION("""COMPUTED_VALUE"""),"Emsland Group")</f>
        <v>Emsland Group</v>
      </c>
      <c r="F925" s="7" t="str">
        <f>IFERROR(__xludf.DUMMYFUNCTION("""COMPUTED_VALUE"""),"None")</f>
        <v>None</v>
      </c>
      <c r="G925" s="7" t="str">
        <f>IFERROR(__xludf.DUMMYFUNCTION("""COMPUTED_VALUE"""),"No salary data")</f>
        <v>No salary data</v>
      </c>
      <c r="H925" s="7" t="str">
        <f>IFERROR(__xludf.DUMMYFUNCTION("""COMPUTED_VALUE"""),"No salary data")</f>
        <v>No salary data</v>
      </c>
      <c r="I925" s="7" t="str">
        <f>IFERROR(__xludf.DUMMYFUNCTION("""COMPUTED_VALUE"""),"No salary data")</f>
        <v>No salary data</v>
      </c>
      <c r="J925" s="7" t="str">
        <f>IFERROR(__xludf.DUMMYFUNCTION("""COMPUTED_VALUE"""),"SQL")</f>
        <v>SQL</v>
      </c>
      <c r="K925" s="7" t="str">
        <f>IFERROR(__xludf.DUMMYFUNCTION("""COMPUTED_VALUE"""),"No job type data")</f>
        <v>No job type data</v>
      </c>
      <c r="L925" s="7" t="str">
        <f>IFERROR(__xludf.DUMMYFUNCTION("""COMPUTED_VALUE"""),"None")</f>
        <v>None</v>
      </c>
      <c r="M925" s="7"/>
      <c r="N925" s="7"/>
      <c r="O925" s="7"/>
    </row>
    <row r="926">
      <c r="A926" s="29">
        <f>IFERROR(__xludf.DUMMYFUNCTION("""COMPUTED_VALUE"""),922.0)</f>
        <v>922</v>
      </c>
      <c r="B926" s="7" t="str">
        <f>IFERROR(__xludf.DUMMYFUNCTION("""COMPUTED_VALUE"""),"vor 28 Tagen")</f>
        <v>vor 28 Tagen</v>
      </c>
      <c r="C926" s="7" t="str">
        <f>IFERROR(__xludf.DUMMYFUNCTION("""COMPUTED_VALUE"""),"W2-Professur für „Data Science – insbesondere Machine und De...")</f>
        <v>W2-Professur für „Data Science – insbesondere Machine und De...</v>
      </c>
      <c r="D926" s="7" t="str">
        <f>IFERROR(__xludf.DUMMYFUNCTION("""COMPUTED_VALUE"""),"Kiel")</f>
        <v>Kiel</v>
      </c>
      <c r="E926" s="7" t="str">
        <f>IFERROR(__xludf.DUMMYFUNCTION("""COMPUTED_VALUE"""),"Fachhochschule Kiel")</f>
        <v>Fachhochschule Kiel</v>
      </c>
      <c r="F926" s="7" t="str">
        <f>IFERROR(__xludf.DUMMYFUNCTION("""COMPUTED_VALUE"""),"None")</f>
        <v>None</v>
      </c>
      <c r="G926" s="7" t="str">
        <f>IFERROR(__xludf.DUMMYFUNCTION("""COMPUTED_VALUE"""),"No salary data")</f>
        <v>No salary data</v>
      </c>
      <c r="H926" s="7" t="str">
        <f>IFERROR(__xludf.DUMMYFUNCTION("""COMPUTED_VALUE"""),"No salary data")</f>
        <v>No salary data</v>
      </c>
      <c r="I926" s="7" t="str">
        <f>IFERROR(__xludf.DUMMYFUNCTION("""COMPUTED_VALUE"""),"No salary data")</f>
        <v>No salary data</v>
      </c>
      <c r="J926" s="7" t="str">
        <f>IFERROR(__xludf.DUMMYFUNCTION("""COMPUTED_VALUE"""),"Python, Deep Learning")</f>
        <v>Python, Deep Learning</v>
      </c>
      <c r="K926" s="7" t="str">
        <f>IFERROR(__xludf.DUMMYFUNCTION("""COMPUTED_VALUE"""),"No job type data")</f>
        <v>No job type data</v>
      </c>
      <c r="L926" s="7" t="str">
        <f>IFERROR(__xludf.DUMMYFUNCTION("""COMPUTED_VALUE"""),"None")</f>
        <v>None</v>
      </c>
      <c r="M926" s="7"/>
      <c r="N926" s="7"/>
      <c r="O926" s="7"/>
    </row>
    <row r="927">
      <c r="A927" s="29">
        <f>IFERROR(__xludf.DUMMYFUNCTION("""COMPUTED_VALUE"""),923.0)</f>
        <v>923</v>
      </c>
      <c r="B927" s="7" t="str">
        <f>IFERROR(__xludf.DUMMYFUNCTION("""COMPUTED_VALUE"""),"Vor mehr als 30 Tagen")</f>
        <v>Vor mehr als 30 Tagen</v>
      </c>
      <c r="C927" s="7" t="str">
        <f>IFERROR(__xludf.DUMMYFUNCTION("""COMPUTED_VALUE"""),"Abschlussarbeit Wirtschaftsinformatik (m/w/d)")</f>
        <v>Abschlussarbeit Wirtschaftsinformatik (m/w/d)</v>
      </c>
      <c r="D927" s="7" t="str">
        <f>IFERROR(__xludf.DUMMYFUNCTION("""COMPUTED_VALUE"""),"Buxtehude")</f>
        <v>Buxtehude</v>
      </c>
      <c r="E927" s="7" t="str">
        <f>IFERROR(__xludf.DUMMYFUNCTION("""COMPUTED_VALUE"""),"Campusjäger GmbH")</f>
        <v>Campusjäger GmbH</v>
      </c>
      <c r="F927" s="7" t="str">
        <f>IFERROR(__xludf.DUMMYFUNCTION("""COMPUTED_VALUE"""),"None")</f>
        <v>None</v>
      </c>
      <c r="G927" s="7" t="str">
        <f>IFERROR(__xludf.DUMMYFUNCTION("""COMPUTED_VALUE"""),"No salary data")</f>
        <v>No salary data</v>
      </c>
      <c r="H927" s="7" t="str">
        <f>IFERROR(__xludf.DUMMYFUNCTION("""COMPUTED_VALUE"""),"No salary data")</f>
        <v>No salary data</v>
      </c>
      <c r="I927" s="7" t="str">
        <f>IFERROR(__xludf.DUMMYFUNCTION("""COMPUTED_VALUE"""),"No salary data")</f>
        <v>No salary data</v>
      </c>
      <c r="J927" s="7" t="str">
        <f>IFERROR(__xludf.DUMMYFUNCTION("""COMPUTED_VALUE"""),"Git")</f>
        <v>Git</v>
      </c>
      <c r="K927" s="7" t="str">
        <f>IFERROR(__xludf.DUMMYFUNCTION("""COMPUTED_VALUE"""),"No job type data")</f>
        <v>No job type data</v>
      </c>
      <c r="L927" s="7" t="str">
        <f>IFERROR(__xludf.DUMMYFUNCTION("""COMPUTED_VALUE"""),"4,8")</f>
        <v>4,8</v>
      </c>
      <c r="M927" s="7"/>
      <c r="N927" s="7"/>
      <c r="O927" s="7"/>
    </row>
    <row r="928">
      <c r="A928" s="29">
        <f>IFERROR(__xludf.DUMMYFUNCTION("""COMPUTED_VALUE"""),924.0)</f>
        <v>924</v>
      </c>
      <c r="B928" s="7" t="str">
        <f>IFERROR(__xludf.DUMMYFUNCTION("""COMPUTED_VALUE"""),"Vor mehr als 30 Tagen")</f>
        <v>Vor mehr als 30 Tagen</v>
      </c>
      <c r="C928" s="7" t="str">
        <f>IFERROR(__xludf.DUMMYFUNCTION("""COMPUTED_VALUE"""),"Werkstudent (m/w/d) Data Science / IT / Python / Karlsruhe")</f>
        <v>Werkstudent (m/w/d) Data Science / IT / Python / Karlsruhe</v>
      </c>
      <c r="D928" s="7" t="str">
        <f>IFERROR(__xludf.DUMMYFUNCTION("""COMPUTED_VALUE"""),"Karlsruhe")</f>
        <v>Karlsruhe</v>
      </c>
      <c r="E928" s="7" t="str">
        <f>IFERROR(__xludf.DUMMYFUNCTION("""COMPUTED_VALUE"""),"Campusjäger GmbH")</f>
        <v>Campusjäger GmbH</v>
      </c>
      <c r="F928" s="7" t="str">
        <f>IFERROR(__xludf.DUMMYFUNCTION("""COMPUTED_VALUE"""),"None")</f>
        <v>None</v>
      </c>
      <c r="G928" s="7" t="str">
        <f>IFERROR(__xludf.DUMMYFUNCTION("""COMPUTED_VALUE"""),"No salary data")</f>
        <v>No salary data</v>
      </c>
      <c r="H928" s="7" t="str">
        <f>IFERROR(__xludf.DUMMYFUNCTION("""COMPUTED_VALUE"""),"No salary data")</f>
        <v>No salary data</v>
      </c>
      <c r="I928" s="7" t="str">
        <f>IFERROR(__xludf.DUMMYFUNCTION("""COMPUTED_VALUE"""),"No salary data")</f>
        <v>No salary data</v>
      </c>
      <c r="J928" s="7" t="str">
        <f>IFERROR(__xludf.DUMMYFUNCTION("""COMPUTED_VALUE"""),"Python, SQL, Excel")</f>
        <v>Python, SQL, Excel</v>
      </c>
      <c r="K928" s="7" t="str">
        <f>IFERROR(__xludf.DUMMYFUNCTION("""COMPUTED_VALUE"""),"No job type data")</f>
        <v>No job type data</v>
      </c>
      <c r="L928" s="7" t="str">
        <f>IFERROR(__xludf.DUMMYFUNCTION("""COMPUTED_VALUE"""),"4,8")</f>
        <v>4,8</v>
      </c>
      <c r="M928" s="7"/>
      <c r="N928" s="7"/>
      <c r="O928" s="7"/>
    </row>
    <row r="929">
      <c r="A929" s="29">
        <f>IFERROR(__xludf.DUMMYFUNCTION("""COMPUTED_VALUE"""),925.0)</f>
        <v>925</v>
      </c>
      <c r="B929" s="7" t="str">
        <f>IFERROR(__xludf.DUMMYFUNCTION("""COMPUTED_VALUE"""),"vor 3 Tagen")</f>
        <v>vor 3 Tagen</v>
      </c>
      <c r="C929" s="7" t="str">
        <f>IFERROR(__xludf.DUMMYFUNCTION("""COMPUTED_VALUE"""),"Data Scientists (m/w/d) für KI/ML - Videointerview möglich")</f>
        <v>Data Scientists (m/w/d) für KI/ML - Videointerview möglich</v>
      </c>
      <c r="D929" s="7" t="str">
        <f>IFERROR(__xludf.DUMMYFUNCTION("""COMPUTED_VALUE"""),"München")</f>
        <v>München</v>
      </c>
      <c r="E929" s="7" t="str">
        <f>IFERROR(__xludf.DUMMYFUNCTION("""COMPUTED_VALUE"""),"Fiducia &amp; GAD IT AG")</f>
        <v>Fiducia &amp; GAD IT AG</v>
      </c>
      <c r="F929" s="7" t="str">
        <f>IFERROR(__xludf.DUMMYFUNCTION("""COMPUTED_VALUE"""),"None")</f>
        <v>None</v>
      </c>
      <c r="G929" s="7" t="str">
        <f>IFERROR(__xludf.DUMMYFUNCTION("""COMPUTED_VALUE"""),"No salary data")</f>
        <v>No salary data</v>
      </c>
      <c r="H929" s="7" t="str">
        <f>IFERROR(__xludf.DUMMYFUNCTION("""COMPUTED_VALUE"""),"No salary data")</f>
        <v>No salary data</v>
      </c>
      <c r="I929" s="7" t="str">
        <f>IFERROR(__xludf.DUMMYFUNCTION("""COMPUTED_VALUE"""),"No salary data")</f>
        <v>No salary data</v>
      </c>
      <c r="J929" s="7" t="str">
        <f>IFERROR(__xludf.DUMMYFUNCTION("""COMPUTED_VALUE"""),"Python, SQL, Machine Learning, Agile")</f>
        <v>Python, SQL, Machine Learning, Agile</v>
      </c>
      <c r="K929" s="7" t="str">
        <f>IFERROR(__xludf.DUMMYFUNCTION("""COMPUTED_VALUE"""),"No job type data")</f>
        <v>No job type data</v>
      </c>
      <c r="L929" s="7" t="str">
        <f>IFERROR(__xludf.DUMMYFUNCTION("""COMPUTED_VALUE"""),"None")</f>
        <v>None</v>
      </c>
      <c r="M929" s="7"/>
      <c r="N929" s="7"/>
      <c r="O929" s="7"/>
    </row>
    <row r="930">
      <c r="A930" s="29">
        <f>IFERROR(__xludf.DUMMYFUNCTION("""COMPUTED_VALUE"""),926.0)</f>
        <v>926</v>
      </c>
      <c r="B930" s="7" t="str">
        <f>IFERROR(__xludf.DUMMYFUNCTION("""COMPUTED_VALUE"""),"vor 6 Tagen")</f>
        <v>vor 6 Tagen</v>
      </c>
      <c r="C930" s="7" t="str">
        <f>IFERROR(__xludf.DUMMYFUNCTION("""COMPUTED_VALUE"""),"Data Warehouse Entwickler (m/w/d)")</f>
        <v>Data Warehouse Entwickler (m/w/d)</v>
      </c>
      <c r="D930" s="7" t="str">
        <f>IFERROR(__xludf.DUMMYFUNCTION("""COMPUTED_VALUE"""),"Düsseldorf")</f>
        <v>Düsseldorf</v>
      </c>
      <c r="E930" s="7" t="str">
        <f>IFERROR(__xludf.DUMMYFUNCTION("""COMPUTED_VALUE"""),"REHSEARCH - eine Sparte der Rehbach Gruppe GmbH")</f>
        <v>REHSEARCH - eine Sparte der Rehbach Gruppe GmbH</v>
      </c>
      <c r="F930" s="7" t="str">
        <f>IFERROR(__xludf.DUMMYFUNCTION("""COMPUTED_VALUE"""),"None")</f>
        <v>None</v>
      </c>
      <c r="G930" s="7" t="str">
        <f>IFERROR(__xludf.DUMMYFUNCTION("""COMPUTED_VALUE"""),"No salary data")</f>
        <v>No salary data</v>
      </c>
      <c r="H930" s="7" t="str">
        <f>IFERROR(__xludf.DUMMYFUNCTION("""COMPUTED_VALUE"""),"No salary data")</f>
        <v>No salary data</v>
      </c>
      <c r="I930" s="7" t="str">
        <f>IFERROR(__xludf.DUMMYFUNCTION("""COMPUTED_VALUE"""),"No salary data")</f>
        <v>No salary data</v>
      </c>
      <c r="J930" s="7" t="str">
        <f>IFERROR(__xludf.DUMMYFUNCTION("""COMPUTED_VALUE"""),"SQL")</f>
        <v>SQL</v>
      </c>
      <c r="K930" s="7" t="str">
        <f>IFERROR(__xludf.DUMMYFUNCTION("""COMPUTED_VALUE"""),"No job type data")</f>
        <v>No job type data</v>
      </c>
      <c r="L930" s="7" t="str">
        <f>IFERROR(__xludf.DUMMYFUNCTION("""COMPUTED_VALUE"""),"5,0")</f>
        <v>5,0</v>
      </c>
      <c r="M930" s="7"/>
      <c r="N930" s="7"/>
      <c r="O930" s="7"/>
    </row>
    <row r="931">
      <c r="A931" s="29">
        <f>IFERROR(__xludf.DUMMYFUNCTION("""COMPUTED_VALUE"""),927.0)</f>
        <v>927</v>
      </c>
      <c r="B931" s="7" t="str">
        <f>IFERROR(__xludf.DUMMYFUNCTION("""COMPUTED_VALUE"""),"vor 17 Tagen")</f>
        <v>vor 17 Tagen</v>
      </c>
      <c r="C931" s="7" t="str">
        <f>IFERROR(__xludf.DUMMYFUNCTION("""COMPUTED_VALUE"""),"Data Scientist")</f>
        <v>Data Scientist</v>
      </c>
      <c r="D931" s="7" t="str">
        <f>IFERROR(__xludf.DUMMYFUNCTION("""COMPUTED_VALUE"""),"Osnabrück")</f>
        <v>Osnabrück</v>
      </c>
      <c r="E931" s="7" t="str">
        <f>IFERROR(__xludf.DUMMYFUNCTION("""COMPUTED_VALUE"""),"Brunel")</f>
        <v>Brunel</v>
      </c>
      <c r="F931" s="7" t="str">
        <f>IFERROR(__xludf.DUMMYFUNCTION("""COMPUTED_VALUE"""),"None")</f>
        <v>None</v>
      </c>
      <c r="G931" s="7" t="str">
        <f>IFERROR(__xludf.DUMMYFUNCTION("""COMPUTED_VALUE"""),"No salary data")</f>
        <v>No salary data</v>
      </c>
      <c r="H931" s="7" t="str">
        <f>IFERROR(__xludf.DUMMYFUNCTION("""COMPUTED_VALUE"""),"No salary data")</f>
        <v>No salary data</v>
      </c>
      <c r="I931" s="7" t="str">
        <f>IFERROR(__xludf.DUMMYFUNCTION("""COMPUTED_VALUE"""),"No salary data")</f>
        <v>No salary data</v>
      </c>
      <c r="J931" s="7" t="str">
        <f>IFERROR(__xludf.DUMMYFUNCTION("""COMPUTED_VALUE"""),"Python, SQL")</f>
        <v>Python, SQL</v>
      </c>
      <c r="K931" s="7" t="str">
        <f>IFERROR(__xludf.DUMMYFUNCTION("""COMPUTED_VALUE"""),"No job type data")</f>
        <v>No job type data</v>
      </c>
      <c r="L931" s="7" t="str">
        <f>IFERROR(__xludf.DUMMYFUNCTION("""COMPUTED_VALUE"""),"3,9")</f>
        <v>3,9</v>
      </c>
      <c r="M931" s="7"/>
      <c r="N931" s="7"/>
      <c r="O931" s="7"/>
    </row>
    <row r="932">
      <c r="A932" s="29">
        <f>IFERROR(__xludf.DUMMYFUNCTION("""COMPUTED_VALUE"""),928.0)</f>
        <v>928</v>
      </c>
      <c r="B932" s="7" t="str">
        <f>IFERROR(__xludf.DUMMYFUNCTION("""COMPUTED_VALUE"""),"vor 3 Tagen")</f>
        <v>vor 3 Tagen</v>
      </c>
      <c r="C932" s="7" t="str">
        <f>IFERROR(__xludf.DUMMYFUNCTION("""COMPUTED_VALUE"""),"Data Scientist, Schwerpunkt Data Warehouse (m/w/d)")</f>
        <v>Data Scientist, Schwerpunkt Data Warehouse (m/w/d)</v>
      </c>
      <c r="D932" s="7" t="str">
        <f>IFERROR(__xludf.DUMMYFUNCTION("""COMPUTED_VALUE"""),"Köln")</f>
        <v>Köln</v>
      </c>
      <c r="E932" s="7" t="str">
        <f>IFERROR(__xludf.DUMMYFUNCTION("""COMPUTED_VALUE"""),"- BG ETEM - Berufsgenossenschaft Energie Textil Elektro Medienerzeugnisse")</f>
        <v>- BG ETEM - Berufsgenossenschaft Energie Textil Elektro Medienerzeugnisse</v>
      </c>
      <c r="F932" s="7" t="str">
        <f>IFERROR(__xludf.DUMMYFUNCTION("""COMPUTED_VALUE"""),"None")</f>
        <v>None</v>
      </c>
      <c r="G932" s="7" t="str">
        <f>IFERROR(__xludf.DUMMYFUNCTION("""COMPUTED_VALUE"""),"No salary data")</f>
        <v>No salary data</v>
      </c>
      <c r="H932" s="7" t="str">
        <f>IFERROR(__xludf.DUMMYFUNCTION("""COMPUTED_VALUE"""),"No salary data")</f>
        <v>No salary data</v>
      </c>
      <c r="I932" s="7" t="str">
        <f>IFERROR(__xludf.DUMMYFUNCTION("""COMPUTED_VALUE"""),"No salary data")</f>
        <v>No salary data</v>
      </c>
      <c r="J932" s="7"/>
      <c r="K932" s="7" t="str">
        <f>IFERROR(__xludf.DUMMYFUNCTION("""COMPUTED_VALUE"""),"No job type data")</f>
        <v>No job type data</v>
      </c>
      <c r="L932" s="7" t="str">
        <f>IFERROR(__xludf.DUMMYFUNCTION("""COMPUTED_VALUE"""),"None")</f>
        <v>None</v>
      </c>
      <c r="M932" s="7"/>
      <c r="N932" s="7"/>
      <c r="O932" s="7"/>
    </row>
    <row r="933">
      <c r="A933" s="29">
        <f>IFERROR(__xludf.DUMMYFUNCTION("""COMPUTED_VALUE"""),929.0)</f>
        <v>929</v>
      </c>
      <c r="B933" s="7" t="str">
        <f>IFERROR(__xludf.DUMMYFUNCTION("""COMPUTED_VALUE"""),"vor 27 Tagen")</f>
        <v>vor 27 Tagen</v>
      </c>
      <c r="C933" s="7" t="str">
        <f>IFERROR(__xludf.DUMMYFUNCTION("""COMPUTED_VALUE"""),"Lead Mechanical Engineer - Data Center")</f>
        <v>Lead Mechanical Engineer - Data Center</v>
      </c>
      <c r="D933" s="7" t="str">
        <f>IFERROR(__xludf.DUMMYFUNCTION("""COMPUTED_VALUE"""),"Frankfurt am Main")</f>
        <v>Frankfurt am Main</v>
      </c>
      <c r="E933" s="7" t="str">
        <f>IFERROR(__xludf.DUMMYFUNCTION("""COMPUTED_VALUE"""),"Ashbys Consulting")</f>
        <v>Ashbys Consulting</v>
      </c>
      <c r="F933" s="7" t="str">
        <f>IFERROR(__xludf.DUMMYFUNCTION("""COMPUTED_VALUE"""),"90,000 € - 110,000 € pro Jahr")</f>
        <v>90,000 € - 110,000 € pro Jahr</v>
      </c>
      <c r="G933" s="7">
        <f>IFERROR(__xludf.DUMMYFUNCTION("""COMPUTED_VALUE"""),100000.0)</f>
        <v>100000</v>
      </c>
      <c r="H933" s="7" t="str">
        <f>IFERROR(__xludf.DUMMYFUNCTION("""COMPUTED_VALUE"""),"Jahr")</f>
        <v>Jahr</v>
      </c>
      <c r="I933" s="7">
        <f>IFERROR(__xludf.DUMMYFUNCTION("""COMPUTED_VALUE"""),100000.0)</f>
        <v>100000</v>
      </c>
      <c r="J933" s="7" t="str">
        <f>IFERROR(__xludf.DUMMYFUNCTION("""COMPUTED_VALUE"""),"Excel")</f>
        <v>Excel</v>
      </c>
      <c r="K933" s="7" t="str">
        <f>IFERROR(__xludf.DUMMYFUNCTION("""COMPUTED_VALUE"""),"Contract")</f>
        <v>Contract</v>
      </c>
      <c r="L933" s="7" t="str">
        <f>IFERROR(__xludf.DUMMYFUNCTION("""COMPUTED_VALUE"""),"None")</f>
        <v>None</v>
      </c>
      <c r="M933" s="7"/>
      <c r="N933" s="7"/>
      <c r="O933" s="7"/>
    </row>
    <row r="934">
      <c r="A934" s="29">
        <f>IFERROR(__xludf.DUMMYFUNCTION("""COMPUTED_VALUE"""),930.0)</f>
        <v>930</v>
      </c>
      <c r="B934" s="7" t="str">
        <f>IFERROR(__xludf.DUMMYFUNCTION("""COMPUTED_VALUE"""),"vor 5 Tagen")</f>
        <v>vor 5 Tagen</v>
      </c>
      <c r="C934" s="7" t="str">
        <f>IFERROR(__xludf.DUMMYFUNCTION("""COMPUTED_VALUE"""),"Data Analyst (m/w/d) Insurance Services")</f>
        <v>Data Analyst (m/w/d) Insurance Services</v>
      </c>
      <c r="D934" s="7" t="str">
        <f>IFERROR(__xludf.DUMMYFUNCTION("""COMPUTED_VALUE"""),"Ismaning")</f>
        <v>Ismaning</v>
      </c>
      <c r="E934" s="7" t="str">
        <f>IFERROR(__xludf.DUMMYFUNCTION("""COMPUTED_VALUE"""),"Aioi Nissay Dowa Insurance Company of Europe SE")</f>
        <v>Aioi Nissay Dowa Insurance Company of Europe SE</v>
      </c>
      <c r="F934" s="7" t="str">
        <f>IFERROR(__xludf.DUMMYFUNCTION("""COMPUTED_VALUE"""),"None")</f>
        <v>None</v>
      </c>
      <c r="G934" s="7" t="str">
        <f>IFERROR(__xludf.DUMMYFUNCTION("""COMPUTED_VALUE"""),"No salary data")</f>
        <v>No salary data</v>
      </c>
      <c r="H934" s="7" t="str">
        <f>IFERROR(__xludf.DUMMYFUNCTION("""COMPUTED_VALUE"""),"No salary data")</f>
        <v>No salary data</v>
      </c>
      <c r="I934" s="7" t="str">
        <f>IFERROR(__xludf.DUMMYFUNCTION("""COMPUTED_VALUE"""),"No salary data")</f>
        <v>No salary data</v>
      </c>
      <c r="J934" s="7" t="str">
        <f>IFERROR(__xludf.DUMMYFUNCTION("""COMPUTED_VALUE"""),"Excel")</f>
        <v>Excel</v>
      </c>
      <c r="K934" s="7" t="str">
        <f>IFERROR(__xludf.DUMMYFUNCTION("""COMPUTED_VALUE"""),"No job type data")</f>
        <v>No job type data</v>
      </c>
      <c r="L934" s="7" t="str">
        <f>IFERROR(__xludf.DUMMYFUNCTION("""COMPUTED_VALUE"""),"None")</f>
        <v>None</v>
      </c>
      <c r="M934" s="7"/>
      <c r="N934" s="7"/>
      <c r="O934" s="7"/>
    </row>
    <row r="935">
      <c r="A935" s="29">
        <f>IFERROR(__xludf.DUMMYFUNCTION("""COMPUTED_VALUE"""),931.0)</f>
        <v>931</v>
      </c>
      <c r="B935" s="7" t="str">
        <f>IFERROR(__xludf.DUMMYFUNCTION("""COMPUTED_VALUE"""),"vor 2 Tagen")</f>
        <v>vor 2 Tagen</v>
      </c>
      <c r="C935" s="7" t="str">
        <f>IFERROR(__xludf.DUMMYFUNCTION("""COMPUTED_VALUE"""),"Impact Evaluation/Data Manager (m/w/d) für Entwicklungsproje...")</f>
        <v>Impact Evaluation/Data Manager (m/w/d) für Entwicklungsproje...</v>
      </c>
      <c r="D935" s="7" t="str">
        <f>IFERROR(__xludf.DUMMYFUNCTION("""COMPUTED_VALUE"""),"Hamburg")</f>
        <v>Hamburg</v>
      </c>
      <c r="E935" s="7" t="str">
        <f>IFERROR(__xludf.DUMMYFUNCTION("""COMPUTED_VALUE"""),"Max und Ingeburg Herz Stiftung (MIHS)")</f>
        <v>Max und Ingeburg Herz Stiftung (MIHS)</v>
      </c>
      <c r="F935" s="7" t="str">
        <f>IFERROR(__xludf.DUMMYFUNCTION("""COMPUTED_VALUE"""),"None")</f>
        <v>None</v>
      </c>
      <c r="G935" s="7" t="str">
        <f>IFERROR(__xludf.DUMMYFUNCTION("""COMPUTED_VALUE"""),"No salary data")</f>
        <v>No salary data</v>
      </c>
      <c r="H935" s="7" t="str">
        <f>IFERROR(__xludf.DUMMYFUNCTION("""COMPUTED_VALUE"""),"No salary data")</f>
        <v>No salary data</v>
      </c>
      <c r="I935" s="7" t="str">
        <f>IFERROR(__xludf.DUMMYFUNCTION("""COMPUTED_VALUE"""),"No salary data")</f>
        <v>No salary data</v>
      </c>
      <c r="J935" s="7" t="str">
        <f>IFERROR(__xludf.DUMMYFUNCTION("""COMPUTED_VALUE"""),"SQL")</f>
        <v>SQL</v>
      </c>
      <c r="K935" s="7" t="str">
        <f>IFERROR(__xludf.DUMMYFUNCTION("""COMPUTED_VALUE"""),"No job type data")</f>
        <v>No job type data</v>
      </c>
      <c r="L935" s="7" t="str">
        <f>IFERROR(__xludf.DUMMYFUNCTION("""COMPUTED_VALUE"""),"None")</f>
        <v>None</v>
      </c>
      <c r="M935" s="7"/>
      <c r="N935" s="7"/>
      <c r="O935" s="7"/>
    </row>
    <row r="936">
      <c r="A936" s="29">
        <f>IFERROR(__xludf.DUMMYFUNCTION("""COMPUTED_VALUE"""),932.0)</f>
        <v>932</v>
      </c>
      <c r="B936" s="7" t="str">
        <f>IFERROR(__xludf.DUMMYFUNCTION("""COMPUTED_VALUE"""),"Vor mehr als 30 Tagen")</f>
        <v>Vor mehr als 30 Tagen</v>
      </c>
      <c r="C936" s="7" t="str">
        <f>IFERROR(__xludf.DUMMYFUNCTION("""COMPUTED_VALUE"""),"Python Developer")</f>
        <v>Python Developer</v>
      </c>
      <c r="D936" s="7" t="str">
        <f>IFERROR(__xludf.DUMMYFUNCTION("""COMPUTED_VALUE"""),"Hannover")</f>
        <v>Hannover</v>
      </c>
      <c r="E936" s="7" t="str">
        <f>IFERROR(__xludf.DUMMYFUNCTION("""COMPUTED_VALUE"""),"Brunel")</f>
        <v>Brunel</v>
      </c>
      <c r="F936" s="7" t="str">
        <f>IFERROR(__xludf.DUMMYFUNCTION("""COMPUTED_VALUE"""),"None")</f>
        <v>None</v>
      </c>
      <c r="G936" s="7" t="str">
        <f>IFERROR(__xludf.DUMMYFUNCTION("""COMPUTED_VALUE"""),"No salary data")</f>
        <v>No salary data</v>
      </c>
      <c r="H936" s="7" t="str">
        <f>IFERROR(__xludf.DUMMYFUNCTION("""COMPUTED_VALUE"""),"No salary data")</f>
        <v>No salary data</v>
      </c>
      <c r="I936" s="7" t="str">
        <f>IFERROR(__xludf.DUMMYFUNCTION("""COMPUTED_VALUE"""),"No salary data")</f>
        <v>No salary data</v>
      </c>
      <c r="J936" s="7" t="str">
        <f>IFERROR(__xludf.DUMMYFUNCTION("""COMPUTED_VALUE"""),"Python, SQL, Machine Learning, Git")</f>
        <v>Python, SQL, Machine Learning, Git</v>
      </c>
      <c r="K936" s="7" t="str">
        <f>IFERROR(__xludf.DUMMYFUNCTION("""COMPUTED_VALUE"""),"No job type data")</f>
        <v>No job type data</v>
      </c>
      <c r="L936" s="7" t="str">
        <f>IFERROR(__xludf.DUMMYFUNCTION("""COMPUTED_VALUE"""),"3,9")</f>
        <v>3,9</v>
      </c>
      <c r="M936" s="7"/>
      <c r="N936" s="7"/>
      <c r="O936" s="7"/>
    </row>
    <row r="937">
      <c r="A937" s="29">
        <f>IFERROR(__xludf.DUMMYFUNCTION("""COMPUTED_VALUE"""),933.0)</f>
        <v>933</v>
      </c>
      <c r="B937" s="7" t="str">
        <f>IFERROR(__xludf.DUMMYFUNCTION("""COMPUTED_VALUE"""),"vor 25 Tagen")</f>
        <v>vor 25 Tagen</v>
      </c>
      <c r="C937" s="7" t="str">
        <f>IFERROR(__xludf.DUMMYFUNCTION("""COMPUTED_VALUE"""),"Data Manager (m/w/divers) Produktdaten / PIM")</f>
        <v>Data Manager (m/w/divers) Produktdaten / PIM</v>
      </c>
      <c r="D937" s="7" t="str">
        <f>IFERROR(__xludf.DUMMYFUNCTION("""COMPUTED_VALUE"""),"Kempenich")</f>
        <v>Kempenich</v>
      </c>
      <c r="E937" s="7" t="str">
        <f>IFERROR(__xludf.DUMMYFUNCTION("""COMPUTED_VALUE"""),"wolfcraft GmbH")</f>
        <v>wolfcraft GmbH</v>
      </c>
      <c r="F937" s="7" t="str">
        <f>IFERROR(__xludf.DUMMYFUNCTION("""COMPUTED_VALUE"""),"None")</f>
        <v>None</v>
      </c>
      <c r="G937" s="7" t="str">
        <f>IFERROR(__xludf.DUMMYFUNCTION("""COMPUTED_VALUE"""),"No salary data")</f>
        <v>No salary data</v>
      </c>
      <c r="H937" s="7" t="str">
        <f>IFERROR(__xludf.DUMMYFUNCTION("""COMPUTED_VALUE"""),"No salary data")</f>
        <v>No salary data</v>
      </c>
      <c r="I937" s="7" t="str">
        <f>IFERROR(__xludf.DUMMYFUNCTION("""COMPUTED_VALUE"""),"No salary data")</f>
        <v>No salary data</v>
      </c>
      <c r="J937" s="7" t="str">
        <f>IFERROR(__xludf.DUMMYFUNCTION("""COMPUTED_VALUE"""),"Agile")</f>
        <v>Agile</v>
      </c>
      <c r="K937" s="7" t="str">
        <f>IFERROR(__xludf.DUMMYFUNCTION("""COMPUTED_VALUE"""),"No job type data")</f>
        <v>No job type data</v>
      </c>
      <c r="L937" s="7" t="str">
        <f>IFERROR(__xludf.DUMMYFUNCTION("""COMPUTED_VALUE"""),"4,3")</f>
        <v>4,3</v>
      </c>
      <c r="M937" s="7"/>
      <c r="N937" s="7"/>
      <c r="O937" s="7"/>
    </row>
    <row r="938">
      <c r="A938" s="29">
        <f>IFERROR(__xludf.DUMMYFUNCTION("""COMPUTED_VALUE"""),934.0)</f>
        <v>934</v>
      </c>
      <c r="B938" s="7" t="str">
        <f>IFERROR(__xludf.DUMMYFUNCTION("""COMPUTED_VALUE"""),"vor 14 Tagen")</f>
        <v>vor 14 Tagen</v>
      </c>
      <c r="C938" s="7" t="str">
        <f>IFERROR(__xludf.DUMMYFUNCTION("""COMPUTED_VALUE"""),"IT Consultant / Data Warehouse Specialist (m/w/d)")</f>
        <v>IT Consultant / Data Warehouse Specialist (m/w/d)</v>
      </c>
      <c r="D938" s="7" t="str">
        <f>IFERROR(__xludf.DUMMYFUNCTION("""COMPUTED_VALUE"""),"München")</f>
        <v>München</v>
      </c>
      <c r="E938" s="7" t="str">
        <f>IFERROR(__xludf.DUMMYFUNCTION("""COMPUTED_VALUE"""),"DEVnet GmbH")</f>
        <v>DEVnet GmbH</v>
      </c>
      <c r="F938" s="7" t="str">
        <f>IFERROR(__xludf.DUMMYFUNCTION("""COMPUTED_VALUE"""),"None")</f>
        <v>None</v>
      </c>
      <c r="G938" s="7" t="str">
        <f>IFERROR(__xludf.DUMMYFUNCTION("""COMPUTED_VALUE"""),"No salary data")</f>
        <v>No salary data</v>
      </c>
      <c r="H938" s="7" t="str">
        <f>IFERROR(__xludf.DUMMYFUNCTION("""COMPUTED_VALUE"""),"No salary data")</f>
        <v>No salary data</v>
      </c>
      <c r="I938" s="7" t="str">
        <f>IFERROR(__xludf.DUMMYFUNCTION("""COMPUTED_VALUE"""),"No salary data")</f>
        <v>No salary data</v>
      </c>
      <c r="J938" s="7"/>
      <c r="K938" s="7" t="str">
        <f>IFERROR(__xludf.DUMMYFUNCTION("""COMPUTED_VALUE"""),"No job type data")</f>
        <v>No job type data</v>
      </c>
      <c r="L938" s="7" t="str">
        <f>IFERROR(__xludf.DUMMYFUNCTION("""COMPUTED_VALUE"""),"None")</f>
        <v>None</v>
      </c>
      <c r="M938" s="7"/>
      <c r="N938" s="7"/>
      <c r="O938" s="7"/>
    </row>
    <row r="939">
      <c r="A939" s="29">
        <f>IFERROR(__xludf.DUMMYFUNCTION("""COMPUTED_VALUE"""),935.0)</f>
        <v>935</v>
      </c>
      <c r="B939" s="7" t="str">
        <f>IFERROR(__xludf.DUMMYFUNCTION("""COMPUTED_VALUE"""),"Vor mehr als 30 Tagen")</f>
        <v>Vor mehr als 30 Tagen</v>
      </c>
      <c r="C939" s="7" t="str">
        <f>IFERROR(__xludf.DUMMYFUNCTION("""COMPUTED_VALUE"""),"Consultant Machine Learning Engineering (m/w/d)")</f>
        <v>Consultant Machine Learning Engineering (m/w/d)</v>
      </c>
      <c r="D939" s="7" t="str">
        <f>IFERROR(__xludf.DUMMYFUNCTION("""COMPUTED_VALUE"""),"Deutschland")</f>
        <v>Deutschland</v>
      </c>
      <c r="E939" s="7" t="str">
        <f>IFERROR(__xludf.DUMMYFUNCTION("""COMPUTED_VALUE"""),"mayato GmbH")</f>
        <v>mayato GmbH</v>
      </c>
      <c r="F939" s="7" t="str">
        <f>IFERROR(__xludf.DUMMYFUNCTION("""COMPUTED_VALUE"""),"None")</f>
        <v>None</v>
      </c>
      <c r="G939" s="7" t="str">
        <f>IFERROR(__xludf.DUMMYFUNCTION("""COMPUTED_VALUE"""),"No salary data")</f>
        <v>No salary data</v>
      </c>
      <c r="H939" s="7" t="str">
        <f>IFERROR(__xludf.DUMMYFUNCTION("""COMPUTED_VALUE"""),"No salary data")</f>
        <v>No salary data</v>
      </c>
      <c r="I939" s="7" t="str">
        <f>IFERROR(__xludf.DUMMYFUNCTION("""COMPUTED_VALUE"""),"No salary data")</f>
        <v>No salary data</v>
      </c>
      <c r="J939" s="7" t="str">
        <f>IFERROR(__xludf.DUMMYFUNCTION("""COMPUTED_VALUE"""),"Python, Machine Learning, Git")</f>
        <v>Python, Machine Learning, Git</v>
      </c>
      <c r="K939" s="7" t="str">
        <f>IFERROR(__xludf.DUMMYFUNCTION("""COMPUTED_VALUE"""),"No job type data")</f>
        <v>No job type data</v>
      </c>
      <c r="L939" s="7" t="str">
        <f>IFERROR(__xludf.DUMMYFUNCTION("""COMPUTED_VALUE"""),"4,8")</f>
        <v>4,8</v>
      </c>
      <c r="M939" s="7"/>
      <c r="N939" s="7"/>
      <c r="O939" s="7"/>
    </row>
    <row r="940">
      <c r="A940" s="29">
        <f>IFERROR(__xludf.DUMMYFUNCTION("""COMPUTED_VALUE"""),936.0)</f>
        <v>936</v>
      </c>
      <c r="B940" s="7" t="str">
        <f>IFERROR(__xludf.DUMMYFUNCTION("""COMPUTED_VALUE"""),"vor 3 Tagen")</f>
        <v>vor 3 Tagen</v>
      </c>
      <c r="C940" s="7" t="str">
        <f>IFERROR(__xludf.DUMMYFUNCTION("""COMPUTED_VALUE"""),"Data Scientist, Schwerpunkt Data Warehouse (m/w/d)")</f>
        <v>Data Scientist, Schwerpunkt Data Warehouse (m/w/d)</v>
      </c>
      <c r="D940" s="7" t="str">
        <f>IFERROR(__xludf.DUMMYFUNCTION("""COMPUTED_VALUE"""),"Köln")</f>
        <v>Köln</v>
      </c>
      <c r="E940" s="7" t="str">
        <f>IFERROR(__xludf.DUMMYFUNCTION("""COMPUTED_VALUE"""),"- BG ETEM - Berufsgenossenschaft Energie Textil Elektro Medienerzeugnisse")</f>
        <v>- BG ETEM - Berufsgenossenschaft Energie Textil Elektro Medienerzeugnisse</v>
      </c>
      <c r="F940" s="7" t="str">
        <f>IFERROR(__xludf.DUMMYFUNCTION("""COMPUTED_VALUE"""),"None")</f>
        <v>None</v>
      </c>
      <c r="G940" s="7" t="str">
        <f>IFERROR(__xludf.DUMMYFUNCTION("""COMPUTED_VALUE"""),"No salary data")</f>
        <v>No salary data</v>
      </c>
      <c r="H940" s="7" t="str">
        <f>IFERROR(__xludf.DUMMYFUNCTION("""COMPUTED_VALUE"""),"No salary data")</f>
        <v>No salary data</v>
      </c>
      <c r="I940" s="7" t="str">
        <f>IFERROR(__xludf.DUMMYFUNCTION("""COMPUTED_VALUE"""),"No salary data")</f>
        <v>No salary data</v>
      </c>
      <c r="J940" s="7"/>
      <c r="K940" s="7" t="str">
        <f>IFERROR(__xludf.DUMMYFUNCTION("""COMPUTED_VALUE"""),"No job type data")</f>
        <v>No job type data</v>
      </c>
      <c r="L940" s="7" t="str">
        <f>IFERROR(__xludf.DUMMYFUNCTION("""COMPUTED_VALUE"""),"None")</f>
        <v>None</v>
      </c>
      <c r="M940" s="7"/>
      <c r="N940" s="7"/>
      <c r="O940" s="7"/>
    </row>
    <row r="941">
      <c r="A941" s="29">
        <f>IFERROR(__xludf.DUMMYFUNCTION("""COMPUTED_VALUE"""),937.0)</f>
        <v>937</v>
      </c>
      <c r="B941" s="7" t="str">
        <f>IFERROR(__xludf.DUMMYFUNCTION("""COMPUTED_VALUE"""),"vor 9 Tagen")</f>
        <v>vor 9 Tagen</v>
      </c>
      <c r="C941" s="7" t="str">
        <f>IFERROR(__xludf.DUMMYFUNCTION("""COMPUTED_VALUE"""),"Consultant (w/m/d) Business Analyse und Geschäftsprozessmana...")</f>
        <v>Consultant (w/m/d) Business Analyse und Geschäftsprozessmana...</v>
      </c>
      <c r="D941" s="7" t="str">
        <f>IFERROR(__xludf.DUMMYFUNCTION("""COMPUTED_VALUE"""),"München")</f>
        <v>München</v>
      </c>
      <c r="E941" s="7" t="str">
        <f>IFERROR(__xludf.DUMMYFUNCTION("""COMPUTED_VALUE"""),"MID GmbH")</f>
        <v>MID GmbH</v>
      </c>
      <c r="F941" s="7" t="str">
        <f>IFERROR(__xludf.DUMMYFUNCTION("""COMPUTED_VALUE"""),"None")</f>
        <v>None</v>
      </c>
      <c r="G941" s="7" t="str">
        <f>IFERROR(__xludf.DUMMYFUNCTION("""COMPUTED_VALUE"""),"No salary data")</f>
        <v>No salary data</v>
      </c>
      <c r="H941" s="7" t="str">
        <f>IFERROR(__xludf.DUMMYFUNCTION("""COMPUTED_VALUE"""),"No salary data")</f>
        <v>No salary data</v>
      </c>
      <c r="I941" s="7" t="str">
        <f>IFERROR(__xludf.DUMMYFUNCTION("""COMPUTED_VALUE"""),"No salary data")</f>
        <v>No salary data</v>
      </c>
      <c r="J941" s="7" t="str">
        <f>IFERROR(__xludf.DUMMYFUNCTION("""COMPUTED_VALUE"""),"Git, Agile")</f>
        <v>Git, Agile</v>
      </c>
      <c r="K941" s="7" t="str">
        <f>IFERROR(__xludf.DUMMYFUNCTION("""COMPUTED_VALUE"""),"No job type data")</f>
        <v>No job type data</v>
      </c>
      <c r="L941" s="7" t="str">
        <f>IFERROR(__xludf.DUMMYFUNCTION("""COMPUTED_VALUE"""),"4,0")</f>
        <v>4,0</v>
      </c>
      <c r="M941" s="7"/>
      <c r="N941" s="7"/>
      <c r="O941" s="7"/>
    </row>
    <row r="942">
      <c r="A942" s="29">
        <f>IFERROR(__xludf.DUMMYFUNCTION("""COMPUTED_VALUE"""),938.0)</f>
        <v>938</v>
      </c>
      <c r="B942" s="7" t="str">
        <f>IFERROR(__xludf.DUMMYFUNCTION("""COMPUTED_VALUE"""),"vor 24 Tagen")</f>
        <v>vor 24 Tagen</v>
      </c>
      <c r="C942" s="7" t="str">
        <f>IFERROR(__xludf.DUMMYFUNCTION("""COMPUTED_VALUE"""),"Duales Studium Wirtschaftsinformatik B.Sc. – Fachrichtung Da...")</f>
        <v>Duales Studium Wirtschaftsinformatik B.Sc. – Fachrichtung Da...</v>
      </c>
      <c r="D942" s="7" t="str">
        <f>IFERROR(__xludf.DUMMYFUNCTION("""COMPUTED_VALUE"""),"Stuttgart")</f>
        <v>Stuttgart</v>
      </c>
      <c r="E942" s="7" t="str">
        <f>IFERROR(__xludf.DUMMYFUNCTION("""COMPUTED_VALUE"""),"Komm.ONE")</f>
        <v>Komm.ONE</v>
      </c>
      <c r="F942" s="7" t="str">
        <f>IFERROR(__xludf.DUMMYFUNCTION("""COMPUTED_VALUE"""),"None")</f>
        <v>None</v>
      </c>
      <c r="G942" s="7" t="str">
        <f>IFERROR(__xludf.DUMMYFUNCTION("""COMPUTED_VALUE"""),"No salary data")</f>
        <v>No salary data</v>
      </c>
      <c r="H942" s="7" t="str">
        <f>IFERROR(__xludf.DUMMYFUNCTION("""COMPUTED_VALUE"""),"No salary data")</f>
        <v>No salary data</v>
      </c>
      <c r="I942" s="7" t="str">
        <f>IFERROR(__xludf.DUMMYFUNCTION("""COMPUTED_VALUE"""),"No salary data")</f>
        <v>No salary data</v>
      </c>
      <c r="J942" s="7"/>
      <c r="K942" s="7" t="str">
        <f>IFERROR(__xludf.DUMMYFUNCTION("""COMPUTED_VALUE"""),"No job type data")</f>
        <v>No job type data</v>
      </c>
      <c r="L942" s="7" t="str">
        <f>IFERROR(__xludf.DUMMYFUNCTION("""COMPUTED_VALUE"""),"None")</f>
        <v>None</v>
      </c>
      <c r="M942" s="7"/>
      <c r="N942" s="7"/>
      <c r="O942" s="7"/>
    </row>
    <row r="943">
      <c r="A943" s="29">
        <f>IFERROR(__xludf.DUMMYFUNCTION("""COMPUTED_VALUE"""),939.0)</f>
        <v>939</v>
      </c>
      <c r="B943" s="7" t="str">
        <f>IFERROR(__xludf.DUMMYFUNCTION("""COMPUTED_VALUE"""),"vor 6 Tagen")</f>
        <v>vor 6 Tagen</v>
      </c>
      <c r="C943" s="7" t="str">
        <f>IFERROR(__xludf.DUMMYFUNCTION("""COMPUTED_VALUE"""),"Researcher (PhD Candidate) (m/f/d)")</f>
        <v>Researcher (PhD Candidate) (m/f/d)</v>
      </c>
      <c r="D943" s="7" t="str">
        <f>IFERROR(__xludf.DUMMYFUNCTION("""COMPUTED_VALUE"""),"Frankfurt am Main")</f>
        <v>Frankfurt am Main</v>
      </c>
      <c r="E943" s="7" t="str">
        <f>IFERROR(__xludf.DUMMYFUNCTION("""COMPUTED_VALUE"""),"Max-Planck-Gesellschaft für empirische Ästhetik")</f>
        <v>Max-Planck-Gesellschaft für empirische Ästhetik</v>
      </c>
      <c r="F943" s="7" t="str">
        <f>IFERROR(__xludf.DUMMYFUNCTION("""COMPUTED_VALUE"""),"None")</f>
        <v>None</v>
      </c>
      <c r="G943" s="7" t="str">
        <f>IFERROR(__xludf.DUMMYFUNCTION("""COMPUTED_VALUE"""),"No salary data")</f>
        <v>No salary data</v>
      </c>
      <c r="H943" s="7" t="str">
        <f>IFERROR(__xludf.DUMMYFUNCTION("""COMPUTED_VALUE"""),"No salary data")</f>
        <v>No salary data</v>
      </c>
      <c r="I943" s="7" t="str">
        <f>IFERROR(__xludf.DUMMYFUNCTION("""COMPUTED_VALUE"""),"No salary data")</f>
        <v>No salary data</v>
      </c>
      <c r="J943" s="7" t="str">
        <f>IFERROR(__xludf.DUMMYFUNCTION("""COMPUTED_VALUE"""),"Python, Excel, Machine Learning, Statistic")</f>
        <v>Python, Excel, Machine Learning, Statistic</v>
      </c>
      <c r="K943" s="7" t="str">
        <f>IFERROR(__xludf.DUMMYFUNCTION("""COMPUTED_VALUE"""),"No job type data")</f>
        <v>No job type data</v>
      </c>
      <c r="L943" s="7" t="str">
        <f>IFERROR(__xludf.DUMMYFUNCTION("""COMPUTED_VALUE"""),"None")</f>
        <v>None</v>
      </c>
      <c r="M943" s="7"/>
      <c r="N943" s="7"/>
      <c r="O943" s="7"/>
    </row>
    <row r="944">
      <c r="A944" s="29">
        <f>IFERROR(__xludf.DUMMYFUNCTION("""COMPUTED_VALUE"""),940.0)</f>
        <v>940</v>
      </c>
      <c r="B944" s="7" t="str">
        <f>IFERROR(__xludf.DUMMYFUNCTION("""COMPUTED_VALUE"""),"vor 14 Tagen")</f>
        <v>vor 14 Tagen</v>
      </c>
      <c r="C944" s="7" t="str">
        <f>IFERROR(__xludf.DUMMYFUNCTION("""COMPUTED_VALUE"""),"Junior Software Engineer (m/w/d)")</f>
        <v>Junior Software Engineer (m/w/d)</v>
      </c>
      <c r="D944" s="7" t="str">
        <f>IFERROR(__xludf.DUMMYFUNCTION("""COMPUTED_VALUE"""),"München")</f>
        <v>München</v>
      </c>
      <c r="E944" s="7" t="str">
        <f>IFERROR(__xludf.DUMMYFUNCTION("""COMPUTED_VALUE"""),"DEVnet GmbH")</f>
        <v>DEVnet GmbH</v>
      </c>
      <c r="F944" s="7" t="str">
        <f>IFERROR(__xludf.DUMMYFUNCTION("""COMPUTED_VALUE"""),"None")</f>
        <v>None</v>
      </c>
      <c r="G944" s="7" t="str">
        <f>IFERROR(__xludf.DUMMYFUNCTION("""COMPUTED_VALUE"""),"No salary data")</f>
        <v>No salary data</v>
      </c>
      <c r="H944" s="7" t="str">
        <f>IFERROR(__xludf.DUMMYFUNCTION("""COMPUTED_VALUE"""),"No salary data")</f>
        <v>No salary data</v>
      </c>
      <c r="I944" s="7" t="str">
        <f>IFERROR(__xludf.DUMMYFUNCTION("""COMPUTED_VALUE"""),"No salary data")</f>
        <v>No salary data</v>
      </c>
      <c r="J944" s="7" t="str">
        <f>IFERROR(__xludf.DUMMYFUNCTION("""COMPUTED_VALUE"""),"Git")</f>
        <v>Git</v>
      </c>
      <c r="K944" s="7" t="str">
        <f>IFERROR(__xludf.DUMMYFUNCTION("""COMPUTED_VALUE"""),"No job type data")</f>
        <v>No job type data</v>
      </c>
      <c r="L944" s="7" t="str">
        <f>IFERROR(__xludf.DUMMYFUNCTION("""COMPUTED_VALUE"""),"None")</f>
        <v>None</v>
      </c>
      <c r="M944" s="7"/>
      <c r="N944" s="7"/>
      <c r="O944" s="7"/>
    </row>
    <row r="945">
      <c r="A945" s="29">
        <f>IFERROR(__xludf.DUMMYFUNCTION("""COMPUTED_VALUE"""),941.0)</f>
        <v>941</v>
      </c>
      <c r="B945" s="7" t="str">
        <f>IFERROR(__xludf.DUMMYFUNCTION("""COMPUTED_VALUE"""),"vor 10 Tagen")</f>
        <v>vor 10 Tagen</v>
      </c>
      <c r="C945" s="7" t="str">
        <f>IFERROR(__xludf.DUMMYFUNCTION("""COMPUTED_VALUE"""),"(Senior) Data Scientist (f/m/d)")</f>
        <v>(Senior) Data Scientist (f/m/d)</v>
      </c>
      <c r="D945" s="7" t="str">
        <f>IFERROR(__xludf.DUMMYFUNCTION("""COMPUTED_VALUE"""),"Düsseldorf")</f>
        <v>Düsseldorf</v>
      </c>
      <c r="E945" s="7" t="str">
        <f>IFERROR(__xludf.DUMMYFUNCTION("""COMPUTED_VALUE"""),"FRED Executive Search GmbH")</f>
        <v>FRED Executive Search GmbH</v>
      </c>
      <c r="F945" s="7" t="str">
        <f>IFERROR(__xludf.DUMMYFUNCTION("""COMPUTED_VALUE"""),"None")</f>
        <v>None</v>
      </c>
      <c r="G945" s="7" t="str">
        <f>IFERROR(__xludf.DUMMYFUNCTION("""COMPUTED_VALUE"""),"No salary data")</f>
        <v>No salary data</v>
      </c>
      <c r="H945" s="7" t="str">
        <f>IFERROR(__xludf.DUMMYFUNCTION("""COMPUTED_VALUE"""),"No salary data")</f>
        <v>No salary data</v>
      </c>
      <c r="I945" s="7" t="str">
        <f>IFERROR(__xludf.DUMMYFUNCTION("""COMPUTED_VALUE"""),"No salary data")</f>
        <v>No salary data</v>
      </c>
      <c r="J945" s="7" t="str">
        <f>IFERROR(__xludf.DUMMYFUNCTION("""COMPUTED_VALUE"""),"Python, SQL, Tableau, Excel, Machine Learning, Statistic, Git")</f>
        <v>Python, SQL, Tableau, Excel, Machine Learning, Statistic, Git</v>
      </c>
      <c r="K945" s="7" t="str">
        <f>IFERROR(__xludf.DUMMYFUNCTION("""COMPUTED_VALUE"""),"No job type data")</f>
        <v>No job type data</v>
      </c>
      <c r="L945" s="7" t="str">
        <f>IFERROR(__xludf.DUMMYFUNCTION("""COMPUTED_VALUE"""),"None")</f>
        <v>None</v>
      </c>
      <c r="M945" s="7"/>
      <c r="N945" s="7"/>
      <c r="O945" s="7"/>
    </row>
    <row r="946">
      <c r="A946" s="29">
        <f>IFERROR(__xludf.DUMMYFUNCTION("""COMPUTED_VALUE"""),942.0)</f>
        <v>942</v>
      </c>
      <c r="B946" s="7" t="str">
        <f>IFERROR(__xludf.DUMMYFUNCTION("""COMPUTED_VALUE"""),"vor 13 Tagen")</f>
        <v>vor 13 Tagen</v>
      </c>
      <c r="C946" s="7" t="str">
        <f>IFERROR(__xludf.DUMMYFUNCTION("""COMPUTED_VALUE"""),"Data collection Analyst Berlin 12 Month Contract")</f>
        <v>Data collection Analyst Berlin 12 Month Contract</v>
      </c>
      <c r="D946" s="7" t="str">
        <f>IFERROR(__xludf.DUMMYFUNCTION("""COMPUTED_VALUE"""),"Berlin")</f>
        <v>Berlin</v>
      </c>
      <c r="E946" s="7" t="str">
        <f>IFERROR(__xludf.DUMMYFUNCTION("""COMPUTED_VALUE"""),"Apollo Solutions")</f>
        <v>Apollo Solutions</v>
      </c>
      <c r="F946" s="7" t="str">
        <f>IFERROR(__xludf.DUMMYFUNCTION("""COMPUTED_VALUE"""),"None")</f>
        <v>None</v>
      </c>
      <c r="G946" s="7" t="str">
        <f>IFERROR(__xludf.DUMMYFUNCTION("""COMPUTED_VALUE"""),"No salary data")</f>
        <v>No salary data</v>
      </c>
      <c r="H946" s="7" t="str">
        <f>IFERROR(__xludf.DUMMYFUNCTION("""COMPUTED_VALUE"""),"No salary data")</f>
        <v>No salary data</v>
      </c>
      <c r="I946" s="7" t="str">
        <f>IFERROR(__xludf.DUMMYFUNCTION("""COMPUTED_VALUE"""),"No salary data")</f>
        <v>No salary data</v>
      </c>
      <c r="J946" s="7" t="str">
        <f>IFERROR(__xludf.DUMMYFUNCTION("""COMPUTED_VALUE"""),"Git, Agile")</f>
        <v>Git, Agile</v>
      </c>
      <c r="K946" s="7" t="str">
        <f>IFERROR(__xludf.DUMMYFUNCTION("""COMPUTED_VALUE"""),"Contract")</f>
        <v>Contract</v>
      </c>
      <c r="L946" s="7" t="str">
        <f>IFERROR(__xludf.DUMMYFUNCTION("""COMPUTED_VALUE"""),"None")</f>
        <v>None</v>
      </c>
      <c r="M946" s="7"/>
      <c r="N946" s="7"/>
      <c r="O946" s="7"/>
    </row>
    <row r="947">
      <c r="A947" s="29">
        <f>IFERROR(__xludf.DUMMYFUNCTION("""COMPUTED_VALUE"""),943.0)</f>
        <v>943</v>
      </c>
      <c r="B947" s="7" t="str">
        <f>IFERROR(__xludf.DUMMYFUNCTION("""COMPUTED_VALUE"""),"vor 10 Tagen")</f>
        <v>vor 10 Tagen</v>
      </c>
      <c r="C947" s="7" t="str">
        <f>IFERROR(__xludf.DUMMYFUNCTION("""COMPUTED_VALUE"""),"Global Support Engineer (m/w/d)")</f>
        <v>Global Support Engineer (m/w/d)</v>
      </c>
      <c r="D947" s="7" t="str">
        <f>IFERROR(__xludf.DUMMYFUNCTION("""COMPUTED_VALUE"""),"München")</f>
        <v>München</v>
      </c>
      <c r="E947" s="7" t="str">
        <f>IFERROR(__xludf.DUMMYFUNCTION("""COMPUTED_VALUE"""),"Academic Work GmbH")</f>
        <v>Academic Work GmbH</v>
      </c>
      <c r="F947" s="7" t="str">
        <f>IFERROR(__xludf.DUMMYFUNCTION("""COMPUTED_VALUE"""),"None")</f>
        <v>None</v>
      </c>
      <c r="G947" s="7" t="str">
        <f>IFERROR(__xludf.DUMMYFUNCTION("""COMPUTED_VALUE"""),"No salary data")</f>
        <v>No salary data</v>
      </c>
      <c r="H947" s="7" t="str">
        <f>IFERROR(__xludf.DUMMYFUNCTION("""COMPUTED_VALUE"""),"No salary data")</f>
        <v>No salary data</v>
      </c>
      <c r="I947" s="7" t="str">
        <f>IFERROR(__xludf.DUMMYFUNCTION("""COMPUTED_VALUE"""),"No salary data")</f>
        <v>No salary data</v>
      </c>
      <c r="J947" s="7" t="str">
        <f>IFERROR(__xludf.DUMMYFUNCTION("""COMPUTED_VALUE"""),"SQL, Excel, Agile")</f>
        <v>SQL, Excel, Agile</v>
      </c>
      <c r="K947" s="7" t="str">
        <f>IFERROR(__xludf.DUMMYFUNCTION("""COMPUTED_VALUE"""),"No job type data")</f>
        <v>No job type data</v>
      </c>
      <c r="L947" s="7" t="str">
        <f>IFERROR(__xludf.DUMMYFUNCTION("""COMPUTED_VALUE"""),"3,3")</f>
        <v>3,3</v>
      </c>
      <c r="M947" s="7"/>
      <c r="N947" s="7"/>
      <c r="O947" s="7"/>
    </row>
    <row r="948">
      <c r="A948" s="29">
        <f>IFERROR(__xludf.DUMMYFUNCTION("""COMPUTED_VALUE"""),944.0)</f>
        <v>944</v>
      </c>
      <c r="B948" s="7" t="str">
        <f>IFERROR(__xludf.DUMMYFUNCTION("""COMPUTED_VALUE"""),"vor 6 Tagen")</f>
        <v>vor 6 Tagen</v>
      </c>
      <c r="C948" s="7" t="str">
        <f>IFERROR(__xludf.DUMMYFUNCTION("""COMPUTED_VALUE"""),"Process Technician (m/f/d)")</f>
        <v>Process Technician (m/f/d)</v>
      </c>
      <c r="D948" s="7" t="str">
        <f>IFERROR(__xludf.DUMMYFUNCTION("""COMPUTED_VALUE"""),"Weßling")</f>
        <v>Weßling</v>
      </c>
      <c r="E948" s="7" t="str">
        <f>IFERROR(__xludf.DUMMYFUNCTION("""COMPUTED_VALUE"""),"Orizon GmbH")</f>
        <v>Orizon GmbH</v>
      </c>
      <c r="F948" s="7" t="str">
        <f>IFERROR(__xludf.DUMMYFUNCTION("""COMPUTED_VALUE"""),"None")</f>
        <v>None</v>
      </c>
      <c r="G948" s="7" t="str">
        <f>IFERROR(__xludf.DUMMYFUNCTION("""COMPUTED_VALUE"""),"No salary data")</f>
        <v>No salary data</v>
      </c>
      <c r="H948" s="7" t="str">
        <f>IFERROR(__xludf.DUMMYFUNCTION("""COMPUTED_VALUE"""),"No salary data")</f>
        <v>No salary data</v>
      </c>
      <c r="I948" s="7" t="str">
        <f>IFERROR(__xludf.DUMMYFUNCTION("""COMPUTED_VALUE"""),"No salary data")</f>
        <v>No salary data</v>
      </c>
      <c r="J948" s="7" t="str">
        <f>IFERROR(__xludf.DUMMYFUNCTION("""COMPUTED_VALUE"""),"Excel, Git")</f>
        <v>Excel, Git</v>
      </c>
      <c r="K948" s="7" t="str">
        <f>IFERROR(__xludf.DUMMYFUNCTION("""COMPUTED_VALUE"""),"Apprenticeship")</f>
        <v>Apprenticeship</v>
      </c>
      <c r="L948" s="7" t="str">
        <f>IFERROR(__xludf.DUMMYFUNCTION("""COMPUTED_VALUE"""),"3,3")</f>
        <v>3,3</v>
      </c>
      <c r="M948" s="7"/>
      <c r="N948" s="7"/>
      <c r="O948" s="7"/>
    </row>
    <row r="949">
      <c r="A949" s="29">
        <f>IFERROR(__xludf.DUMMYFUNCTION("""COMPUTED_VALUE"""),945.0)</f>
        <v>945</v>
      </c>
      <c r="B949" s="7" t="str">
        <f>IFERROR(__xludf.DUMMYFUNCTION("""COMPUTED_VALUE"""),"vor 20 Tagen")</f>
        <v>vor 20 Tagen</v>
      </c>
      <c r="C949" s="7" t="str">
        <f>IFERROR(__xludf.DUMMYFUNCTION("""COMPUTED_VALUE"""),"Applied Scientist (NLP - Full Text Search) (w/m/d)")</f>
        <v>Applied Scientist (NLP - Full Text Search) (w/m/d)</v>
      </c>
      <c r="D949" s="7" t="str">
        <f>IFERROR(__xludf.DUMMYFUNCTION("""COMPUTED_VALUE"""),"Berlin")</f>
        <v>Berlin</v>
      </c>
      <c r="E949" s="7" t="str">
        <f>IFERROR(__xludf.DUMMYFUNCTION("""COMPUTED_VALUE"""),"Zalando SE")</f>
        <v>Zalando SE</v>
      </c>
      <c r="F949" s="7" t="str">
        <f>IFERROR(__xludf.DUMMYFUNCTION("""COMPUTED_VALUE"""),"None")</f>
        <v>None</v>
      </c>
      <c r="G949" s="7" t="str">
        <f>IFERROR(__xludf.DUMMYFUNCTION("""COMPUTED_VALUE"""),"No salary data")</f>
        <v>No salary data</v>
      </c>
      <c r="H949" s="7" t="str">
        <f>IFERROR(__xludf.DUMMYFUNCTION("""COMPUTED_VALUE"""),"No salary data")</f>
        <v>No salary data</v>
      </c>
      <c r="I949" s="7" t="str">
        <f>IFERROR(__xludf.DUMMYFUNCTION("""COMPUTED_VALUE"""),"No salary data")</f>
        <v>No salary data</v>
      </c>
      <c r="J949" s="7" t="str">
        <f>IFERROR(__xludf.DUMMYFUNCTION("""COMPUTED_VALUE"""),"Python, Machine Learning, Deep Learning, Git")</f>
        <v>Python, Machine Learning, Deep Learning, Git</v>
      </c>
      <c r="K949" s="7" t="str">
        <f>IFERROR(__xludf.DUMMYFUNCTION("""COMPUTED_VALUE"""),"Volunteer")</f>
        <v>Volunteer</v>
      </c>
      <c r="L949" s="7" t="str">
        <f>IFERROR(__xludf.DUMMYFUNCTION("""COMPUTED_VALUE"""),"3,1")</f>
        <v>3,1</v>
      </c>
      <c r="M949" s="7"/>
      <c r="N949" s="7"/>
      <c r="O949" s="7"/>
    </row>
    <row r="950">
      <c r="A950" s="29">
        <f>IFERROR(__xludf.DUMMYFUNCTION("""COMPUTED_VALUE"""),946.0)</f>
        <v>946</v>
      </c>
      <c r="B950" s="7" t="str">
        <f>IFERROR(__xludf.DUMMYFUNCTION("""COMPUTED_VALUE"""),"vor 6 Tagen")</f>
        <v>vor 6 Tagen</v>
      </c>
      <c r="C950" s="7" t="str">
        <f>IFERROR(__xludf.DUMMYFUNCTION("""COMPUTED_VALUE"""),"Product Growth Lead - UK Healthtech, Berlin based")</f>
        <v>Product Growth Lead - UK Healthtech, Berlin based</v>
      </c>
      <c r="D950" s="7" t="str">
        <f>IFERROR(__xludf.DUMMYFUNCTION("""COMPUTED_VALUE"""),"Berlin")</f>
        <v>Berlin</v>
      </c>
      <c r="E950" s="7" t="str">
        <f>IFERROR(__xludf.DUMMYFUNCTION("""COMPUTED_VALUE"""),"HeliosX")</f>
        <v>HeliosX</v>
      </c>
      <c r="F950" s="7" t="str">
        <f>IFERROR(__xludf.DUMMYFUNCTION("""COMPUTED_VALUE"""),"None")</f>
        <v>None</v>
      </c>
      <c r="G950" s="7" t="str">
        <f>IFERROR(__xludf.DUMMYFUNCTION("""COMPUTED_VALUE"""),"No salary data")</f>
        <v>No salary data</v>
      </c>
      <c r="H950" s="7" t="str">
        <f>IFERROR(__xludf.DUMMYFUNCTION("""COMPUTED_VALUE"""),"No salary data")</f>
        <v>No salary data</v>
      </c>
      <c r="I950" s="7" t="str">
        <f>IFERROR(__xludf.DUMMYFUNCTION("""COMPUTED_VALUE"""),"No salary data")</f>
        <v>No salary data</v>
      </c>
      <c r="J950" s="7" t="str">
        <f>IFERROR(__xludf.DUMMYFUNCTION("""COMPUTED_VALUE"""),"Agile")</f>
        <v>Agile</v>
      </c>
      <c r="K950" s="7" t="str">
        <f>IFERROR(__xludf.DUMMYFUNCTION("""COMPUTED_VALUE"""),"No job type data")</f>
        <v>No job type data</v>
      </c>
      <c r="L950" s="7" t="str">
        <f>IFERROR(__xludf.DUMMYFUNCTION("""COMPUTED_VALUE"""),"None")</f>
        <v>None</v>
      </c>
      <c r="M950" s="7"/>
      <c r="N950" s="7"/>
      <c r="O950" s="7"/>
    </row>
    <row r="951">
      <c r="A951" s="29">
        <f>IFERROR(__xludf.DUMMYFUNCTION("""COMPUTED_VALUE"""),947.0)</f>
        <v>947</v>
      </c>
      <c r="B951" s="7" t="str">
        <f>IFERROR(__xludf.DUMMYFUNCTION("""COMPUTED_VALUE"""),"vor 9 Tagen")</f>
        <v>vor 9 Tagen</v>
      </c>
      <c r="C951" s="7" t="str">
        <f>IFERROR(__xludf.DUMMYFUNCTION("""COMPUTED_VALUE"""),"Consultant (w/m/d) Business Analyse und Geschäftsprozessmana...")</f>
        <v>Consultant (w/m/d) Business Analyse und Geschäftsprozessmana...</v>
      </c>
      <c r="D951" s="7" t="str">
        <f>IFERROR(__xludf.DUMMYFUNCTION("""COMPUTED_VALUE"""),"Nürnberg")</f>
        <v>Nürnberg</v>
      </c>
      <c r="E951" s="7" t="str">
        <f>IFERROR(__xludf.DUMMYFUNCTION("""COMPUTED_VALUE"""),"MID GmbH")</f>
        <v>MID GmbH</v>
      </c>
      <c r="F951" s="7" t="str">
        <f>IFERROR(__xludf.DUMMYFUNCTION("""COMPUTED_VALUE"""),"None")</f>
        <v>None</v>
      </c>
      <c r="G951" s="7" t="str">
        <f>IFERROR(__xludf.DUMMYFUNCTION("""COMPUTED_VALUE"""),"No salary data")</f>
        <v>No salary data</v>
      </c>
      <c r="H951" s="7" t="str">
        <f>IFERROR(__xludf.DUMMYFUNCTION("""COMPUTED_VALUE"""),"No salary data")</f>
        <v>No salary data</v>
      </c>
      <c r="I951" s="7" t="str">
        <f>IFERROR(__xludf.DUMMYFUNCTION("""COMPUTED_VALUE"""),"No salary data")</f>
        <v>No salary data</v>
      </c>
      <c r="J951" s="7" t="str">
        <f>IFERROR(__xludf.DUMMYFUNCTION("""COMPUTED_VALUE"""),"Git, Agile")</f>
        <v>Git, Agile</v>
      </c>
      <c r="K951" s="7" t="str">
        <f>IFERROR(__xludf.DUMMYFUNCTION("""COMPUTED_VALUE"""),"No job type data")</f>
        <v>No job type data</v>
      </c>
      <c r="L951" s="7" t="str">
        <f>IFERROR(__xludf.DUMMYFUNCTION("""COMPUTED_VALUE"""),"4,0")</f>
        <v>4,0</v>
      </c>
      <c r="M951" s="7"/>
      <c r="N951" s="7"/>
      <c r="O951" s="7"/>
    </row>
    <row r="952">
      <c r="A952" s="29">
        <f>IFERROR(__xludf.DUMMYFUNCTION("""COMPUTED_VALUE"""),948.0)</f>
        <v>948</v>
      </c>
      <c r="B952" s="7" t="str">
        <f>IFERROR(__xludf.DUMMYFUNCTION("""COMPUTED_VALUE"""),"vor 10 Tagen")</f>
        <v>vor 10 Tagen</v>
      </c>
      <c r="C952" s="7" t="str">
        <f>IFERROR(__xludf.DUMMYFUNCTION("""COMPUTED_VALUE"""),"JUNIOR ACCOUNTANT")</f>
        <v>JUNIOR ACCOUNTANT</v>
      </c>
      <c r="D952" s="7" t="str">
        <f>IFERROR(__xludf.DUMMYFUNCTION("""COMPUTED_VALUE"""),"Frankfurt am Main")</f>
        <v>Frankfurt am Main</v>
      </c>
      <c r="E952" s="7" t="str">
        <f>IFERROR(__xludf.DUMMYFUNCTION("""COMPUTED_VALUE"""),"James Woodman")</f>
        <v>James Woodman</v>
      </c>
      <c r="F952" s="7" t="str">
        <f>IFERROR(__xludf.DUMMYFUNCTION("""COMPUTED_VALUE"""),"40,000 € - 45,000 € pro Jahr")</f>
        <v>40,000 € - 45,000 € pro Jahr</v>
      </c>
      <c r="G952" s="7">
        <f>IFERROR(__xludf.DUMMYFUNCTION("""COMPUTED_VALUE"""),42500.0)</f>
        <v>42500</v>
      </c>
      <c r="H952" s="7" t="str">
        <f>IFERROR(__xludf.DUMMYFUNCTION("""COMPUTED_VALUE"""),"Jahr")</f>
        <v>Jahr</v>
      </c>
      <c r="I952" s="7">
        <f>IFERROR(__xludf.DUMMYFUNCTION("""COMPUTED_VALUE"""),42500.0)</f>
        <v>42500</v>
      </c>
      <c r="J952" s="7" t="str">
        <f>IFERROR(__xludf.DUMMYFUNCTION("""COMPUTED_VALUE"""),"Git")</f>
        <v>Git</v>
      </c>
      <c r="K952" s="7" t="str">
        <f>IFERROR(__xludf.DUMMYFUNCTION("""COMPUTED_VALUE"""),"Contract")</f>
        <v>Contract</v>
      </c>
      <c r="L952" s="7" t="str">
        <f>IFERROR(__xludf.DUMMYFUNCTION("""COMPUTED_VALUE"""),"4,8")</f>
        <v>4,8</v>
      </c>
      <c r="M952" s="7"/>
      <c r="N952" s="7"/>
      <c r="O952" s="7"/>
    </row>
    <row r="953">
      <c r="A953" s="29">
        <f>IFERROR(__xludf.DUMMYFUNCTION("""COMPUTED_VALUE"""),949.0)</f>
        <v>949</v>
      </c>
      <c r="B953" s="7" t="str">
        <f>IFERROR(__xludf.DUMMYFUNCTION("""COMPUTED_VALUE"""),"vor 10 Tagen")</f>
        <v>vor 10 Tagen</v>
      </c>
      <c r="C953" s="7" t="str">
        <f>IFERROR(__xludf.DUMMYFUNCTION("""COMPUTED_VALUE"""),"Wirtschaftsingenieur für Stammdatenmanagement (m/w/d) / Glob...")</f>
        <v>Wirtschaftsingenieur für Stammdatenmanagement (m/w/d) / Glob...</v>
      </c>
      <c r="D953" s="7" t="str">
        <f>IFERROR(__xludf.DUMMYFUNCTION("""COMPUTED_VALUE"""),"Buseck")</f>
        <v>Buseck</v>
      </c>
      <c r="E953" s="7" t="str">
        <f>IFERROR(__xludf.DUMMYFUNCTION("""COMPUTED_VALUE"""),"Alexander Binzel Schweisstechnik GmbH &amp; Co. KG")</f>
        <v>Alexander Binzel Schweisstechnik GmbH &amp; Co. KG</v>
      </c>
      <c r="F953" s="7" t="str">
        <f>IFERROR(__xludf.DUMMYFUNCTION("""COMPUTED_VALUE"""),"None")</f>
        <v>None</v>
      </c>
      <c r="G953" s="7" t="str">
        <f>IFERROR(__xludf.DUMMYFUNCTION("""COMPUTED_VALUE"""),"No salary data")</f>
        <v>No salary data</v>
      </c>
      <c r="H953" s="7" t="str">
        <f>IFERROR(__xludf.DUMMYFUNCTION("""COMPUTED_VALUE"""),"No salary data")</f>
        <v>No salary data</v>
      </c>
      <c r="I953" s="7" t="str">
        <f>IFERROR(__xludf.DUMMYFUNCTION("""COMPUTED_VALUE"""),"No salary data")</f>
        <v>No salary data</v>
      </c>
      <c r="J953" s="7"/>
      <c r="K953" s="7" t="str">
        <f>IFERROR(__xludf.DUMMYFUNCTION("""COMPUTED_VALUE"""),"No job type data")</f>
        <v>No job type data</v>
      </c>
      <c r="L953" s="7" t="str">
        <f>IFERROR(__xludf.DUMMYFUNCTION("""COMPUTED_VALUE"""),"None")</f>
        <v>None</v>
      </c>
      <c r="M953" s="7"/>
      <c r="N953" s="7"/>
      <c r="O953" s="7"/>
    </row>
    <row r="954">
      <c r="A954" s="29">
        <f>IFERROR(__xludf.DUMMYFUNCTION("""COMPUTED_VALUE"""),950.0)</f>
        <v>950</v>
      </c>
      <c r="B954" s="7" t="str">
        <f>IFERROR(__xludf.DUMMYFUNCTION("""COMPUTED_VALUE"""),"vor 6 Tagen")</f>
        <v>vor 6 Tagen</v>
      </c>
      <c r="C954" s="7" t="str">
        <f>IFERROR(__xludf.DUMMYFUNCTION("""COMPUTED_VALUE"""),"Data Warehouse Entwickler (m/w/d)")</f>
        <v>Data Warehouse Entwickler (m/w/d)</v>
      </c>
      <c r="D954" s="7" t="str">
        <f>IFERROR(__xludf.DUMMYFUNCTION("""COMPUTED_VALUE"""),"Düsseldorf")</f>
        <v>Düsseldorf</v>
      </c>
      <c r="E954" s="7" t="str">
        <f>IFERROR(__xludf.DUMMYFUNCTION("""COMPUTED_VALUE"""),"REHSEARCH - eine Sparte der Rehbach Gruppe GmbH")</f>
        <v>REHSEARCH - eine Sparte der Rehbach Gruppe GmbH</v>
      </c>
      <c r="F954" s="7" t="str">
        <f>IFERROR(__xludf.DUMMYFUNCTION("""COMPUTED_VALUE"""),"None")</f>
        <v>None</v>
      </c>
      <c r="G954" s="7" t="str">
        <f>IFERROR(__xludf.DUMMYFUNCTION("""COMPUTED_VALUE"""),"No salary data")</f>
        <v>No salary data</v>
      </c>
      <c r="H954" s="7" t="str">
        <f>IFERROR(__xludf.DUMMYFUNCTION("""COMPUTED_VALUE"""),"No salary data")</f>
        <v>No salary data</v>
      </c>
      <c r="I954" s="7" t="str">
        <f>IFERROR(__xludf.DUMMYFUNCTION("""COMPUTED_VALUE"""),"No salary data")</f>
        <v>No salary data</v>
      </c>
      <c r="J954" s="7" t="str">
        <f>IFERROR(__xludf.DUMMYFUNCTION("""COMPUTED_VALUE"""),"SQL")</f>
        <v>SQL</v>
      </c>
      <c r="K954" s="7" t="str">
        <f>IFERROR(__xludf.DUMMYFUNCTION("""COMPUTED_VALUE"""),"No job type data")</f>
        <v>No job type data</v>
      </c>
      <c r="L954" s="7" t="str">
        <f>IFERROR(__xludf.DUMMYFUNCTION("""COMPUTED_VALUE"""),"5,0")</f>
        <v>5,0</v>
      </c>
      <c r="M954" s="7"/>
      <c r="N954" s="7"/>
      <c r="O954" s="7"/>
    </row>
    <row r="955">
      <c r="A955" s="29">
        <f>IFERROR(__xludf.DUMMYFUNCTION("""COMPUTED_VALUE"""),951.0)</f>
        <v>951</v>
      </c>
      <c r="B955" s="7" t="str">
        <f>IFERROR(__xludf.DUMMYFUNCTION("""COMPUTED_VALUE"""),"vor 21 Tagen")</f>
        <v>vor 21 Tagen</v>
      </c>
      <c r="C955" s="7" t="str">
        <f>IFERROR(__xludf.DUMMYFUNCTION("""COMPUTED_VALUE"""),"Lab Technician")</f>
        <v>Lab Technician</v>
      </c>
      <c r="D955" s="7" t="str">
        <f>IFERROR(__xludf.DUMMYFUNCTION("""COMPUTED_VALUE"""),"Deutschland")</f>
        <v>Deutschland</v>
      </c>
      <c r="E955" s="7" t="str">
        <f>IFERROR(__xludf.DUMMYFUNCTION("""COMPUTED_VALUE"""),"EPM Scientific")</f>
        <v>EPM Scientific</v>
      </c>
      <c r="F955" s="7" t="str">
        <f>IFERROR(__xludf.DUMMYFUNCTION("""COMPUTED_VALUE"""),"25 € pro Stunde")</f>
        <v>25 € pro Stunde</v>
      </c>
      <c r="G955" s="7">
        <f>IFERROR(__xludf.DUMMYFUNCTION("""COMPUTED_VALUE"""),25.0)</f>
        <v>25</v>
      </c>
      <c r="H955" s="7" t="str">
        <f>IFERROR(__xludf.DUMMYFUNCTION("""COMPUTED_VALUE"""),"Stunde")</f>
        <v>Stunde</v>
      </c>
      <c r="I955" s="7">
        <f>IFERROR(__xludf.DUMMYFUNCTION("""COMPUTED_VALUE"""),52800.0)</f>
        <v>52800</v>
      </c>
      <c r="J955" s="7" t="str">
        <f>IFERROR(__xludf.DUMMYFUNCTION("""COMPUTED_VALUE"""),"Excel")</f>
        <v>Excel</v>
      </c>
      <c r="K955" s="7" t="str">
        <f>IFERROR(__xludf.DUMMYFUNCTION("""COMPUTED_VALUE"""),"Permanent")</f>
        <v>Permanent</v>
      </c>
      <c r="L955" s="7" t="str">
        <f>IFERROR(__xludf.DUMMYFUNCTION("""COMPUTED_VALUE"""),"None")</f>
        <v>None</v>
      </c>
      <c r="M955" s="7"/>
      <c r="N955" s="7"/>
      <c r="O955" s="7"/>
    </row>
    <row r="956">
      <c r="A956" s="29">
        <f>IFERROR(__xludf.DUMMYFUNCTION("""COMPUTED_VALUE"""),952.0)</f>
        <v>952</v>
      </c>
      <c r="B956" s="7" t="str">
        <f>IFERROR(__xludf.DUMMYFUNCTION("""COMPUTED_VALUE"""),"vor 2 Tagen")</f>
        <v>vor 2 Tagen</v>
      </c>
      <c r="C956" s="7" t="str">
        <f>IFERROR(__xludf.DUMMYFUNCTION("""COMPUTED_VALUE"""),"Data Scientists (m/w/d) für KI/ML in Teilzeit - Videointervi...")</f>
        <v>Data Scientists (m/w/d) für KI/ML in Teilzeit - Videointervi...</v>
      </c>
      <c r="D956" s="7" t="str">
        <f>IFERROR(__xludf.DUMMYFUNCTION("""COMPUTED_VALUE"""),"München")</f>
        <v>München</v>
      </c>
      <c r="E956" s="7" t="str">
        <f>IFERROR(__xludf.DUMMYFUNCTION("""COMPUTED_VALUE"""),"Fiducia &amp; GAD IT AG")</f>
        <v>Fiducia &amp; GAD IT AG</v>
      </c>
      <c r="F956" s="7" t="str">
        <f>IFERROR(__xludf.DUMMYFUNCTION("""COMPUTED_VALUE"""),"None")</f>
        <v>None</v>
      </c>
      <c r="G956" s="7" t="str">
        <f>IFERROR(__xludf.DUMMYFUNCTION("""COMPUTED_VALUE"""),"No salary data")</f>
        <v>No salary data</v>
      </c>
      <c r="H956" s="7" t="str">
        <f>IFERROR(__xludf.DUMMYFUNCTION("""COMPUTED_VALUE"""),"No salary data")</f>
        <v>No salary data</v>
      </c>
      <c r="I956" s="7" t="str">
        <f>IFERROR(__xludf.DUMMYFUNCTION("""COMPUTED_VALUE"""),"No salary data")</f>
        <v>No salary data</v>
      </c>
      <c r="J956" s="7" t="str">
        <f>IFERROR(__xludf.DUMMYFUNCTION("""COMPUTED_VALUE"""),"Python, SQL, Machine Learning, Agile")</f>
        <v>Python, SQL, Machine Learning, Agile</v>
      </c>
      <c r="K956" s="7" t="str">
        <f>IFERROR(__xludf.DUMMYFUNCTION("""COMPUTED_VALUE"""),"No job type data")</f>
        <v>No job type data</v>
      </c>
      <c r="L956" s="7" t="str">
        <f>IFERROR(__xludf.DUMMYFUNCTION("""COMPUTED_VALUE"""),"None")</f>
        <v>None</v>
      </c>
      <c r="M956" s="7"/>
      <c r="N956" s="7"/>
      <c r="O956" s="7"/>
    </row>
    <row r="957">
      <c r="A957" s="29">
        <f>IFERROR(__xludf.DUMMYFUNCTION("""COMPUTED_VALUE"""),953.0)</f>
        <v>953</v>
      </c>
      <c r="B957" s="7" t="str">
        <f>IFERROR(__xludf.DUMMYFUNCTION("""COMPUTED_VALUE"""),"vor 17 Tagen")</f>
        <v>vor 17 Tagen</v>
      </c>
      <c r="C957" s="7" t="str">
        <f>IFERROR(__xludf.DUMMYFUNCTION("""COMPUTED_VALUE"""),"Financial Data Analyst Data Quality Management (m/w/d)")</f>
        <v>Financial Data Analyst Data Quality Management (m/w/d)</v>
      </c>
      <c r="D957" s="7" t="str">
        <f>IFERROR(__xludf.DUMMYFUNCTION("""COMPUTED_VALUE"""),"Dresden")</f>
        <v>Dresden</v>
      </c>
      <c r="E957" s="7" t="str">
        <f>IFERROR(__xludf.DUMMYFUNCTION("""COMPUTED_VALUE"""),"Index Intelligence GmbH")</f>
        <v>Index Intelligence GmbH</v>
      </c>
      <c r="F957" s="7" t="str">
        <f>IFERROR(__xludf.DUMMYFUNCTION("""COMPUTED_VALUE"""),"None")</f>
        <v>None</v>
      </c>
      <c r="G957" s="7" t="str">
        <f>IFERROR(__xludf.DUMMYFUNCTION("""COMPUTED_VALUE"""),"No salary data")</f>
        <v>No salary data</v>
      </c>
      <c r="H957" s="7" t="str">
        <f>IFERROR(__xludf.DUMMYFUNCTION("""COMPUTED_VALUE"""),"No salary data")</f>
        <v>No salary data</v>
      </c>
      <c r="I957" s="7" t="str">
        <f>IFERROR(__xludf.DUMMYFUNCTION("""COMPUTED_VALUE"""),"No salary data")</f>
        <v>No salary data</v>
      </c>
      <c r="J957" s="7" t="str">
        <f>IFERROR(__xludf.DUMMYFUNCTION("""COMPUTED_VALUE"""),"SQL, Excel")</f>
        <v>SQL, Excel</v>
      </c>
      <c r="K957" s="7" t="str">
        <f>IFERROR(__xludf.DUMMYFUNCTION("""COMPUTED_VALUE"""),"No job type data")</f>
        <v>No job type data</v>
      </c>
      <c r="L957" s="7" t="str">
        <f>IFERROR(__xludf.DUMMYFUNCTION("""COMPUTED_VALUE"""),"None")</f>
        <v>None</v>
      </c>
      <c r="M957" s="7"/>
      <c r="N957" s="7"/>
      <c r="O957" s="7"/>
    </row>
    <row r="958">
      <c r="A958" s="29">
        <f>IFERROR(__xludf.DUMMYFUNCTION("""COMPUTED_VALUE"""),954.0)</f>
        <v>954</v>
      </c>
      <c r="B958" s="7" t="str">
        <f>IFERROR(__xludf.DUMMYFUNCTION("""COMPUTED_VALUE"""),"vor 10 Tagen")</f>
        <v>vor 10 Tagen</v>
      </c>
      <c r="C958" s="7" t="str">
        <f>IFERROR(__xludf.DUMMYFUNCTION("""COMPUTED_VALUE"""),"SQL-Entwickler / -Programmierer / -Developer (m/w/d)")</f>
        <v>SQL-Entwickler / -Programmierer / -Developer (m/w/d)</v>
      </c>
      <c r="D958" s="7" t="str">
        <f>IFERROR(__xludf.DUMMYFUNCTION("""COMPUTED_VALUE"""),"Waldems")</f>
        <v>Waldems</v>
      </c>
      <c r="E958" s="7" t="str">
        <f>IFERROR(__xludf.DUMMYFUNCTION("""COMPUTED_VALUE"""),"INSIGHT Health GmbH &amp; Co. KG")</f>
        <v>INSIGHT Health GmbH &amp; Co. KG</v>
      </c>
      <c r="F958" s="7" t="str">
        <f>IFERROR(__xludf.DUMMYFUNCTION("""COMPUTED_VALUE"""),"None")</f>
        <v>None</v>
      </c>
      <c r="G958" s="7" t="str">
        <f>IFERROR(__xludf.DUMMYFUNCTION("""COMPUTED_VALUE"""),"No salary data")</f>
        <v>No salary data</v>
      </c>
      <c r="H958" s="7" t="str">
        <f>IFERROR(__xludf.DUMMYFUNCTION("""COMPUTED_VALUE"""),"No salary data")</f>
        <v>No salary data</v>
      </c>
      <c r="I958" s="7" t="str">
        <f>IFERROR(__xludf.DUMMYFUNCTION("""COMPUTED_VALUE"""),"No salary data")</f>
        <v>No salary data</v>
      </c>
      <c r="J958" s="7" t="str">
        <f>IFERROR(__xludf.DUMMYFUNCTION("""COMPUTED_VALUE"""),"SQL")</f>
        <v>SQL</v>
      </c>
      <c r="K958" s="7" t="str">
        <f>IFERROR(__xludf.DUMMYFUNCTION("""COMPUTED_VALUE"""),"No job type data")</f>
        <v>No job type data</v>
      </c>
      <c r="L958" s="7" t="str">
        <f>IFERROR(__xludf.DUMMYFUNCTION("""COMPUTED_VALUE"""),"None")</f>
        <v>None</v>
      </c>
      <c r="M958" s="7"/>
      <c r="N958" s="7"/>
      <c r="O958" s="7"/>
    </row>
    <row r="959">
      <c r="A959" s="29">
        <f>IFERROR(__xludf.DUMMYFUNCTION("""COMPUTED_VALUE"""),955.0)</f>
        <v>955</v>
      </c>
      <c r="B959" s="7" t="str">
        <f>IFERROR(__xludf.DUMMYFUNCTION("""COMPUTED_VALUE"""),"vor 22 Tagen")</f>
        <v>vor 22 Tagen</v>
      </c>
      <c r="C959" s="7" t="str">
        <f>IFERROR(__xludf.DUMMYFUNCTION("""COMPUTED_VALUE"""),"Data Analyst (w/m/d) Produktmanagement und Vertriebssteuerun...")</f>
        <v>Data Analyst (w/m/d) Produktmanagement und Vertriebssteuerun...</v>
      </c>
      <c r="D959" s="7" t="str">
        <f>IFERROR(__xludf.DUMMYFUNCTION("""COMPUTED_VALUE"""),"Potsdam")</f>
        <v>Potsdam</v>
      </c>
      <c r="E959" s="7" t="str">
        <f>IFERROR(__xludf.DUMMYFUNCTION("""COMPUTED_VALUE"""),"Energie und Wasser GmbH")</f>
        <v>Energie und Wasser GmbH</v>
      </c>
      <c r="F959" s="7" t="str">
        <f>IFERROR(__xludf.DUMMYFUNCTION("""COMPUTED_VALUE"""),"None")</f>
        <v>None</v>
      </c>
      <c r="G959" s="7" t="str">
        <f>IFERROR(__xludf.DUMMYFUNCTION("""COMPUTED_VALUE"""),"No salary data")</f>
        <v>No salary data</v>
      </c>
      <c r="H959" s="7" t="str">
        <f>IFERROR(__xludf.DUMMYFUNCTION("""COMPUTED_VALUE"""),"No salary data")</f>
        <v>No salary data</v>
      </c>
      <c r="I959" s="7" t="str">
        <f>IFERROR(__xludf.DUMMYFUNCTION("""COMPUTED_VALUE"""),"No salary data")</f>
        <v>No salary data</v>
      </c>
      <c r="J959" s="7" t="str">
        <f>IFERROR(__xludf.DUMMYFUNCTION("""COMPUTED_VALUE"""),"SQL")</f>
        <v>SQL</v>
      </c>
      <c r="K959" s="7" t="str">
        <f>IFERROR(__xludf.DUMMYFUNCTION("""COMPUTED_VALUE"""),"No job type data")</f>
        <v>No job type data</v>
      </c>
      <c r="L959" s="7" t="str">
        <f>IFERROR(__xludf.DUMMYFUNCTION("""COMPUTED_VALUE"""),"None")</f>
        <v>None</v>
      </c>
      <c r="M959" s="7"/>
      <c r="N959" s="7"/>
      <c r="O959" s="7"/>
    </row>
    <row r="960">
      <c r="A960" s="29">
        <f>IFERROR(__xludf.DUMMYFUNCTION("""COMPUTED_VALUE"""),956.0)</f>
        <v>956</v>
      </c>
      <c r="B960" s="7" t="str">
        <f>IFERROR(__xludf.DUMMYFUNCTION("""COMPUTED_VALUE"""),"vor 13 Tagen")</f>
        <v>vor 13 Tagen</v>
      </c>
      <c r="C960" s="7" t="str">
        <f>IFERROR(__xludf.DUMMYFUNCTION("""COMPUTED_VALUE"""),"Data Engineer (d/m/w)")</f>
        <v>Data Engineer (d/m/w)</v>
      </c>
      <c r="D960" s="7" t="str">
        <f>IFERROR(__xludf.DUMMYFUNCTION("""COMPUTED_VALUE"""),"Nürnberg")</f>
        <v>Nürnberg</v>
      </c>
      <c r="E960" s="7" t="str">
        <f>IFERROR(__xludf.DUMMYFUNCTION("""COMPUTED_VALUE"""),"NÜRNBERGER Versicherung")</f>
        <v>NÜRNBERGER Versicherung</v>
      </c>
      <c r="F960" s="7" t="str">
        <f>IFERROR(__xludf.DUMMYFUNCTION("""COMPUTED_VALUE"""),"None")</f>
        <v>None</v>
      </c>
      <c r="G960" s="7" t="str">
        <f>IFERROR(__xludf.DUMMYFUNCTION("""COMPUTED_VALUE"""),"No salary data")</f>
        <v>No salary data</v>
      </c>
      <c r="H960" s="7" t="str">
        <f>IFERROR(__xludf.DUMMYFUNCTION("""COMPUTED_VALUE"""),"No salary data")</f>
        <v>No salary data</v>
      </c>
      <c r="I960" s="7" t="str">
        <f>IFERROR(__xludf.DUMMYFUNCTION("""COMPUTED_VALUE"""),"No salary data")</f>
        <v>No salary data</v>
      </c>
      <c r="J960" s="7" t="str">
        <f>IFERROR(__xludf.DUMMYFUNCTION("""COMPUTED_VALUE"""),"SQL, Machine Learning, Agile")</f>
        <v>SQL, Machine Learning, Agile</v>
      </c>
      <c r="K960" s="7" t="str">
        <f>IFERROR(__xludf.DUMMYFUNCTION("""COMPUTED_VALUE"""),"No job type data")</f>
        <v>No job type data</v>
      </c>
      <c r="L960" s="7" t="str">
        <f>IFERROR(__xludf.DUMMYFUNCTION("""COMPUTED_VALUE"""),"4,3")</f>
        <v>4,3</v>
      </c>
      <c r="M960" s="7"/>
      <c r="N960" s="7"/>
      <c r="O960" s="7"/>
    </row>
    <row r="961">
      <c r="A961" s="29">
        <f>IFERROR(__xludf.DUMMYFUNCTION("""COMPUTED_VALUE"""),957.0)</f>
        <v>957</v>
      </c>
      <c r="B961" s="7" t="str">
        <f>IFERROR(__xludf.DUMMYFUNCTION("""COMPUTED_VALUE"""),"vor 9 Tagen")</f>
        <v>vor 9 Tagen</v>
      </c>
      <c r="C961" s="7" t="str">
        <f>IFERROR(__xludf.DUMMYFUNCTION("""COMPUTED_VALUE"""),"Consultant (w/m/d) Business Analyse und Geschäftsprozessmana...")</f>
        <v>Consultant (w/m/d) Business Analyse und Geschäftsprozessmana...</v>
      </c>
      <c r="D961" s="7" t="str">
        <f>IFERROR(__xludf.DUMMYFUNCTION("""COMPUTED_VALUE"""),"Nürnberg")</f>
        <v>Nürnberg</v>
      </c>
      <c r="E961" s="7" t="str">
        <f>IFERROR(__xludf.DUMMYFUNCTION("""COMPUTED_VALUE"""),"MID GmbH")</f>
        <v>MID GmbH</v>
      </c>
      <c r="F961" s="7" t="str">
        <f>IFERROR(__xludf.DUMMYFUNCTION("""COMPUTED_VALUE"""),"None")</f>
        <v>None</v>
      </c>
      <c r="G961" s="7" t="str">
        <f>IFERROR(__xludf.DUMMYFUNCTION("""COMPUTED_VALUE"""),"No salary data")</f>
        <v>No salary data</v>
      </c>
      <c r="H961" s="7" t="str">
        <f>IFERROR(__xludf.DUMMYFUNCTION("""COMPUTED_VALUE"""),"No salary data")</f>
        <v>No salary data</v>
      </c>
      <c r="I961" s="7" t="str">
        <f>IFERROR(__xludf.DUMMYFUNCTION("""COMPUTED_VALUE"""),"No salary data")</f>
        <v>No salary data</v>
      </c>
      <c r="J961" s="7" t="str">
        <f>IFERROR(__xludf.DUMMYFUNCTION("""COMPUTED_VALUE"""),"Git, Agile")</f>
        <v>Git, Agile</v>
      </c>
      <c r="K961" s="7" t="str">
        <f>IFERROR(__xludf.DUMMYFUNCTION("""COMPUTED_VALUE"""),"No job type data")</f>
        <v>No job type data</v>
      </c>
      <c r="L961" s="7" t="str">
        <f>IFERROR(__xludf.DUMMYFUNCTION("""COMPUTED_VALUE"""),"4,0")</f>
        <v>4,0</v>
      </c>
      <c r="M961" s="7"/>
      <c r="N961" s="7"/>
      <c r="O961" s="7"/>
    </row>
    <row r="962">
      <c r="A962" s="29">
        <f>IFERROR(__xludf.DUMMYFUNCTION("""COMPUTED_VALUE"""),958.0)</f>
        <v>958</v>
      </c>
      <c r="B962" s="7" t="str">
        <f>IFERROR(__xludf.DUMMYFUNCTION("""COMPUTED_VALUE"""),"vor 12 Tagen")</f>
        <v>vor 12 Tagen</v>
      </c>
      <c r="C962" s="7" t="str">
        <f>IFERROR(__xludf.DUMMYFUNCTION("""COMPUTED_VALUE"""),"Credit Analyst Structured Finance (m/f/d)")</f>
        <v>Credit Analyst Structured Finance (m/f/d)</v>
      </c>
      <c r="D962" s="7" t="str">
        <f>IFERROR(__xludf.DUMMYFUNCTION("""COMPUTED_VALUE"""),"Neuss")</f>
        <v>Neuss</v>
      </c>
      <c r="E962" s="7" t="str">
        <f>IFERROR(__xludf.DUMMYFUNCTION("""COMPUTED_VALUE"""),"Creditreform Rating AG")</f>
        <v>Creditreform Rating AG</v>
      </c>
      <c r="F962" s="7" t="str">
        <f>IFERROR(__xludf.DUMMYFUNCTION("""COMPUTED_VALUE"""),"None")</f>
        <v>None</v>
      </c>
      <c r="G962" s="7" t="str">
        <f>IFERROR(__xludf.DUMMYFUNCTION("""COMPUTED_VALUE"""),"No salary data")</f>
        <v>No salary data</v>
      </c>
      <c r="H962" s="7" t="str">
        <f>IFERROR(__xludf.DUMMYFUNCTION("""COMPUTED_VALUE"""),"No salary data")</f>
        <v>No salary data</v>
      </c>
      <c r="I962" s="7" t="str">
        <f>IFERROR(__xludf.DUMMYFUNCTION("""COMPUTED_VALUE"""),"No salary data")</f>
        <v>No salary data</v>
      </c>
      <c r="J962" s="7" t="str">
        <f>IFERROR(__xludf.DUMMYFUNCTION("""COMPUTED_VALUE"""),"Excel, Statistic")</f>
        <v>Excel, Statistic</v>
      </c>
      <c r="K962" s="7" t="str">
        <f>IFERROR(__xludf.DUMMYFUNCTION("""COMPUTED_VALUE"""),"No job type data")</f>
        <v>No job type data</v>
      </c>
      <c r="L962" s="7" t="str">
        <f>IFERROR(__xludf.DUMMYFUNCTION("""COMPUTED_VALUE"""),"None")</f>
        <v>None</v>
      </c>
      <c r="M962" s="7"/>
      <c r="N962" s="7"/>
      <c r="O962" s="7"/>
    </row>
    <row r="963">
      <c r="A963" s="29">
        <f>IFERROR(__xludf.DUMMYFUNCTION("""COMPUTED_VALUE"""),959.0)</f>
        <v>959</v>
      </c>
      <c r="B963" s="7" t="str">
        <f>IFERROR(__xludf.DUMMYFUNCTION("""COMPUTED_VALUE"""),"Gerade geschaltet")</f>
        <v>Gerade geschaltet</v>
      </c>
      <c r="C963" s="7" t="str">
        <f>IFERROR(__xludf.DUMMYFUNCTION("""COMPUTED_VALUE"""),"Wealth Management Middle Officer")</f>
        <v>Wealth Management Middle Officer</v>
      </c>
      <c r="D963" s="7" t="str">
        <f>IFERROR(__xludf.DUMMYFUNCTION("""COMPUTED_VALUE"""),"Frankfurt am Main")</f>
        <v>Frankfurt am Main</v>
      </c>
      <c r="E963" s="7" t="str">
        <f>IFERROR(__xludf.DUMMYFUNCTION("""COMPUTED_VALUE"""),"Selby Jennings")</f>
        <v>Selby Jennings</v>
      </c>
      <c r="F963" s="7" t="str">
        <f>IFERROR(__xludf.DUMMYFUNCTION("""COMPUTED_VALUE"""),"None")</f>
        <v>None</v>
      </c>
      <c r="G963" s="7" t="str">
        <f>IFERROR(__xludf.DUMMYFUNCTION("""COMPUTED_VALUE"""),"No salary data")</f>
        <v>No salary data</v>
      </c>
      <c r="H963" s="7" t="str">
        <f>IFERROR(__xludf.DUMMYFUNCTION("""COMPUTED_VALUE"""),"No salary data")</f>
        <v>No salary data</v>
      </c>
      <c r="I963" s="7" t="str">
        <f>IFERROR(__xludf.DUMMYFUNCTION("""COMPUTED_VALUE"""),"No salary data")</f>
        <v>No salary data</v>
      </c>
      <c r="J963" s="7" t="str">
        <f>IFERROR(__xludf.DUMMYFUNCTION("""COMPUTED_VALUE"""),"Excel")</f>
        <v>Excel</v>
      </c>
      <c r="K963" s="7" t="str">
        <f>IFERROR(__xludf.DUMMYFUNCTION("""COMPUTED_VALUE"""),"Contract")</f>
        <v>Contract</v>
      </c>
      <c r="L963" s="7" t="str">
        <f>IFERROR(__xludf.DUMMYFUNCTION("""COMPUTED_VALUE"""),"None")</f>
        <v>None</v>
      </c>
      <c r="M963" s="7"/>
      <c r="N963" s="7"/>
      <c r="O963" s="7"/>
    </row>
    <row r="964">
      <c r="A964" s="29">
        <f>IFERROR(__xludf.DUMMYFUNCTION("""COMPUTED_VALUE"""),960.0)</f>
        <v>960</v>
      </c>
      <c r="B964" s="7" t="str">
        <f>IFERROR(__xludf.DUMMYFUNCTION("""COMPUTED_VALUE"""),"Vor mehr als 30 Tagen")</f>
        <v>Vor mehr als 30 Tagen</v>
      </c>
      <c r="C964" s="7" t="str">
        <f>IFERROR(__xludf.DUMMYFUNCTION("""COMPUTED_VALUE"""),"Financial Reporting and Systems Analyst - HFM/ Essbase")</f>
        <v>Financial Reporting and Systems Analyst - HFM/ Essbase</v>
      </c>
      <c r="D964" s="7" t="str">
        <f>IFERROR(__xludf.DUMMYFUNCTION("""COMPUTED_VALUE"""),"Konstanz")</f>
        <v>Konstanz</v>
      </c>
      <c r="E964" s="7" t="str">
        <f>IFERROR(__xludf.DUMMYFUNCTION("""COMPUTED_VALUE"""),"SystemsAccountants")</f>
        <v>SystemsAccountants</v>
      </c>
      <c r="F964" s="7" t="str">
        <f>IFERROR(__xludf.DUMMYFUNCTION("""COMPUTED_VALUE"""),"None")</f>
        <v>None</v>
      </c>
      <c r="G964" s="7" t="str">
        <f>IFERROR(__xludf.DUMMYFUNCTION("""COMPUTED_VALUE"""),"No salary data")</f>
        <v>No salary data</v>
      </c>
      <c r="H964" s="7" t="str">
        <f>IFERROR(__xludf.DUMMYFUNCTION("""COMPUTED_VALUE"""),"No salary data")</f>
        <v>No salary data</v>
      </c>
      <c r="I964" s="7" t="str">
        <f>IFERROR(__xludf.DUMMYFUNCTION("""COMPUTED_VALUE"""),"No salary data")</f>
        <v>No salary data</v>
      </c>
      <c r="J964" s="7"/>
      <c r="K964" s="7" t="str">
        <f>IFERROR(__xludf.DUMMYFUNCTION("""COMPUTED_VALUE"""),"No job type data")</f>
        <v>No job type data</v>
      </c>
      <c r="L964" s="7" t="str">
        <f>IFERROR(__xludf.DUMMYFUNCTION("""COMPUTED_VALUE"""),"None")</f>
        <v>None</v>
      </c>
      <c r="M964" s="7"/>
      <c r="N964" s="7"/>
      <c r="O964" s="7"/>
    </row>
    <row r="965">
      <c r="A965" s="29">
        <f>IFERROR(__xludf.DUMMYFUNCTION("""COMPUTED_VALUE"""),961.0)</f>
        <v>961</v>
      </c>
      <c r="B965" s="7" t="str">
        <f>IFERROR(__xludf.DUMMYFUNCTION("""COMPUTED_VALUE"""),"Vor mehr als 30 Tagen")</f>
        <v>Vor mehr als 30 Tagen</v>
      </c>
      <c r="C965" s="7" t="str">
        <f>IFERROR(__xludf.DUMMYFUNCTION("""COMPUTED_VALUE"""),"Strategy Manager (m/f/d)")</f>
        <v>Strategy Manager (m/f/d)</v>
      </c>
      <c r="D965" s="7" t="str">
        <f>IFERROR(__xludf.DUMMYFUNCTION("""COMPUTED_VALUE"""),"Duisburg")</f>
        <v>Duisburg</v>
      </c>
      <c r="E965" s="7" t="str">
        <f>IFERROR(__xludf.DUMMYFUNCTION("""COMPUTED_VALUE"""),"PRA Group Deutschland GmbH")</f>
        <v>PRA Group Deutschland GmbH</v>
      </c>
      <c r="F965" s="7" t="str">
        <f>IFERROR(__xludf.DUMMYFUNCTION("""COMPUTED_VALUE"""),"None")</f>
        <v>None</v>
      </c>
      <c r="G965" s="7" t="str">
        <f>IFERROR(__xludf.DUMMYFUNCTION("""COMPUTED_VALUE"""),"No salary data")</f>
        <v>No salary data</v>
      </c>
      <c r="H965" s="7" t="str">
        <f>IFERROR(__xludf.DUMMYFUNCTION("""COMPUTED_VALUE"""),"No salary data")</f>
        <v>No salary data</v>
      </c>
      <c r="I965" s="7" t="str">
        <f>IFERROR(__xludf.DUMMYFUNCTION("""COMPUTED_VALUE"""),"No salary data")</f>
        <v>No salary data</v>
      </c>
      <c r="J965" s="7" t="str">
        <f>IFERROR(__xludf.DUMMYFUNCTION("""COMPUTED_VALUE"""),"SQL, Excel, Statistic")</f>
        <v>SQL, Excel, Statistic</v>
      </c>
      <c r="K965" s="7" t="str">
        <f>IFERROR(__xludf.DUMMYFUNCTION("""COMPUTED_VALUE"""),"No job type data")</f>
        <v>No job type data</v>
      </c>
      <c r="L965" s="7" t="str">
        <f>IFERROR(__xludf.DUMMYFUNCTION("""COMPUTED_VALUE"""),"None")</f>
        <v>None</v>
      </c>
      <c r="M965" s="7"/>
      <c r="N965" s="7"/>
      <c r="O965" s="7"/>
    </row>
    <row r="966">
      <c r="A966" s="29">
        <f>IFERROR(__xludf.DUMMYFUNCTION("""COMPUTED_VALUE"""),962.0)</f>
        <v>962</v>
      </c>
      <c r="B966" s="7" t="str">
        <f>IFERROR(__xludf.DUMMYFUNCTION("""COMPUTED_VALUE"""),"vor 1 Tag")</f>
        <v>vor 1 Tag</v>
      </c>
      <c r="C966" s="7" t="str">
        <f>IFERROR(__xludf.DUMMYFUNCTION("""COMPUTED_VALUE"""),"Dualer Student (m/w/d) Informatik mit Schwerpunkt Computatio...")</f>
        <v>Dualer Student (m/w/d) Informatik mit Schwerpunkt Computatio...</v>
      </c>
      <c r="D966" s="7" t="str">
        <f>IFERROR(__xludf.DUMMYFUNCTION("""COMPUTED_VALUE"""),"Düsseldorf")</f>
        <v>Düsseldorf</v>
      </c>
      <c r="E966" s="7" t="str">
        <f>IFERROR(__xludf.DUMMYFUNCTION("""COMPUTED_VALUE"""),"Vodafone Deutschland")</f>
        <v>Vodafone Deutschland</v>
      </c>
      <c r="F966" s="7" t="str">
        <f>IFERROR(__xludf.DUMMYFUNCTION("""COMPUTED_VALUE"""),"None")</f>
        <v>None</v>
      </c>
      <c r="G966" s="7" t="str">
        <f>IFERROR(__xludf.DUMMYFUNCTION("""COMPUTED_VALUE"""),"No salary data")</f>
        <v>No salary data</v>
      </c>
      <c r="H966" s="7" t="str">
        <f>IFERROR(__xludf.DUMMYFUNCTION("""COMPUTED_VALUE"""),"No salary data")</f>
        <v>No salary data</v>
      </c>
      <c r="I966" s="7" t="str">
        <f>IFERROR(__xludf.DUMMYFUNCTION("""COMPUTED_VALUE"""),"No salary data")</f>
        <v>No salary data</v>
      </c>
      <c r="J966" s="7" t="str">
        <f>IFERROR(__xludf.DUMMYFUNCTION("""COMPUTED_VALUE"""),"SQL, Machine Learning, Git")</f>
        <v>SQL, Machine Learning, Git</v>
      </c>
      <c r="K966" s="7" t="str">
        <f>IFERROR(__xludf.DUMMYFUNCTION("""COMPUTED_VALUE"""),"No job type data")</f>
        <v>No job type data</v>
      </c>
      <c r="L966" s="7" t="str">
        <f>IFERROR(__xludf.DUMMYFUNCTION("""COMPUTED_VALUE"""),"4,0")</f>
        <v>4,0</v>
      </c>
      <c r="M966" s="7"/>
      <c r="N966" s="7"/>
      <c r="O966" s="7"/>
    </row>
    <row r="967">
      <c r="A967" s="29">
        <f>IFERROR(__xludf.DUMMYFUNCTION("""COMPUTED_VALUE"""),963.0)</f>
        <v>963</v>
      </c>
      <c r="B967" s="7" t="str">
        <f>IFERROR(__xludf.DUMMYFUNCTION("""COMPUTED_VALUE"""),"vor 12 Tagen")</f>
        <v>vor 12 Tagen</v>
      </c>
      <c r="C967" s="7" t="str">
        <f>IFERROR(__xludf.DUMMYFUNCTION("""COMPUTED_VALUE"""),"SQL-Entwickler/ -Programmierer/ -Developer (m/w/d)")</f>
        <v>SQL-Entwickler/ -Programmierer/ -Developer (m/w/d)</v>
      </c>
      <c r="D967" s="7" t="str">
        <f>IFERROR(__xludf.DUMMYFUNCTION("""COMPUTED_VALUE"""),"Waldems")</f>
        <v>Waldems</v>
      </c>
      <c r="E967" s="7" t="str">
        <f>IFERROR(__xludf.DUMMYFUNCTION("""COMPUTED_VALUE"""),"INSIGHT Health GmbH &amp; CO. KG")</f>
        <v>INSIGHT Health GmbH &amp; CO. KG</v>
      </c>
      <c r="F967" s="7" t="str">
        <f>IFERROR(__xludf.DUMMYFUNCTION("""COMPUTED_VALUE"""),"None")</f>
        <v>None</v>
      </c>
      <c r="G967" s="7" t="str">
        <f>IFERROR(__xludf.DUMMYFUNCTION("""COMPUTED_VALUE"""),"No salary data")</f>
        <v>No salary data</v>
      </c>
      <c r="H967" s="7" t="str">
        <f>IFERROR(__xludf.DUMMYFUNCTION("""COMPUTED_VALUE"""),"No salary data")</f>
        <v>No salary data</v>
      </c>
      <c r="I967" s="7" t="str">
        <f>IFERROR(__xludf.DUMMYFUNCTION("""COMPUTED_VALUE"""),"No salary data")</f>
        <v>No salary data</v>
      </c>
      <c r="J967" s="7" t="str">
        <f>IFERROR(__xludf.DUMMYFUNCTION("""COMPUTED_VALUE"""),"SQL")</f>
        <v>SQL</v>
      </c>
      <c r="K967" s="7" t="str">
        <f>IFERROR(__xludf.DUMMYFUNCTION("""COMPUTED_VALUE"""),"No job type data")</f>
        <v>No job type data</v>
      </c>
      <c r="L967" s="7" t="str">
        <f>IFERROR(__xludf.DUMMYFUNCTION("""COMPUTED_VALUE"""),"None")</f>
        <v>None</v>
      </c>
      <c r="M967" s="7"/>
      <c r="N967" s="7"/>
      <c r="O967" s="7"/>
    </row>
    <row r="968">
      <c r="A968" s="29">
        <f>IFERROR(__xludf.DUMMYFUNCTION("""COMPUTED_VALUE"""),964.0)</f>
        <v>964</v>
      </c>
      <c r="B968" s="7" t="str">
        <f>IFERROR(__xludf.DUMMYFUNCTION("""COMPUTED_VALUE"""),"vor 2 Tagen")</f>
        <v>vor 2 Tagen</v>
      </c>
      <c r="C968" s="7" t="str">
        <f>IFERROR(__xludf.DUMMYFUNCTION("""COMPUTED_VALUE"""),"Data Scientists (m/w/d) für KI/ML in Teilzeit - Videointervi...")</f>
        <v>Data Scientists (m/w/d) für KI/ML in Teilzeit - Videointervi...</v>
      </c>
      <c r="D968" s="7" t="str">
        <f>IFERROR(__xludf.DUMMYFUNCTION("""COMPUTED_VALUE"""),"München")</f>
        <v>München</v>
      </c>
      <c r="E968" s="7" t="str">
        <f>IFERROR(__xludf.DUMMYFUNCTION("""COMPUTED_VALUE"""),"Fiducia &amp; GAD IT AG")</f>
        <v>Fiducia &amp; GAD IT AG</v>
      </c>
      <c r="F968" s="7" t="str">
        <f>IFERROR(__xludf.DUMMYFUNCTION("""COMPUTED_VALUE"""),"None")</f>
        <v>None</v>
      </c>
      <c r="G968" s="7" t="str">
        <f>IFERROR(__xludf.DUMMYFUNCTION("""COMPUTED_VALUE"""),"No salary data")</f>
        <v>No salary data</v>
      </c>
      <c r="H968" s="7" t="str">
        <f>IFERROR(__xludf.DUMMYFUNCTION("""COMPUTED_VALUE"""),"No salary data")</f>
        <v>No salary data</v>
      </c>
      <c r="I968" s="7" t="str">
        <f>IFERROR(__xludf.DUMMYFUNCTION("""COMPUTED_VALUE"""),"No salary data")</f>
        <v>No salary data</v>
      </c>
      <c r="J968" s="7" t="str">
        <f>IFERROR(__xludf.DUMMYFUNCTION("""COMPUTED_VALUE"""),"Python, SQL, Machine Learning, Agile")</f>
        <v>Python, SQL, Machine Learning, Agile</v>
      </c>
      <c r="K968" s="7" t="str">
        <f>IFERROR(__xludf.DUMMYFUNCTION("""COMPUTED_VALUE"""),"No job type data")</f>
        <v>No job type data</v>
      </c>
      <c r="L968" s="7" t="str">
        <f>IFERROR(__xludf.DUMMYFUNCTION("""COMPUTED_VALUE"""),"None")</f>
        <v>None</v>
      </c>
      <c r="M968" s="7"/>
      <c r="N968" s="7"/>
      <c r="O968" s="7"/>
    </row>
    <row r="969">
      <c r="A969" s="29">
        <f>IFERROR(__xludf.DUMMYFUNCTION("""COMPUTED_VALUE"""),965.0)</f>
        <v>965</v>
      </c>
      <c r="B969" s="7" t="str">
        <f>IFERROR(__xludf.DUMMYFUNCTION("""COMPUTED_VALUE"""),"Vor mehr als 30 Tagen")</f>
        <v>Vor mehr als 30 Tagen</v>
      </c>
      <c r="C969" s="7" t="str">
        <f>IFERROR(__xludf.DUMMYFUNCTION("""COMPUTED_VALUE"""),"Consultant Data Science (Cognitive Computing) (m/w/d)")</f>
        <v>Consultant Data Science (Cognitive Computing) (m/w/d)</v>
      </c>
      <c r="D969" s="7" t="str">
        <f>IFERROR(__xludf.DUMMYFUNCTION("""COMPUTED_VALUE"""),"Deutschland")</f>
        <v>Deutschland</v>
      </c>
      <c r="E969" s="7" t="str">
        <f>IFERROR(__xludf.DUMMYFUNCTION("""COMPUTED_VALUE"""),"mayato GmbH")</f>
        <v>mayato GmbH</v>
      </c>
      <c r="F969" s="7" t="str">
        <f>IFERROR(__xludf.DUMMYFUNCTION("""COMPUTED_VALUE"""),"None")</f>
        <v>None</v>
      </c>
      <c r="G969" s="7" t="str">
        <f>IFERROR(__xludf.DUMMYFUNCTION("""COMPUTED_VALUE"""),"No salary data")</f>
        <v>No salary data</v>
      </c>
      <c r="H969" s="7" t="str">
        <f>IFERROR(__xludf.DUMMYFUNCTION("""COMPUTED_VALUE"""),"No salary data")</f>
        <v>No salary data</v>
      </c>
      <c r="I969" s="7" t="str">
        <f>IFERROR(__xludf.DUMMYFUNCTION("""COMPUTED_VALUE"""),"No salary data")</f>
        <v>No salary data</v>
      </c>
      <c r="J969" s="7" t="str">
        <f>IFERROR(__xludf.DUMMYFUNCTION("""COMPUTED_VALUE"""),"Python, SQL, Deep Learning")</f>
        <v>Python, SQL, Deep Learning</v>
      </c>
      <c r="K969" s="7" t="str">
        <f>IFERROR(__xludf.DUMMYFUNCTION("""COMPUTED_VALUE"""),"No job type data")</f>
        <v>No job type data</v>
      </c>
      <c r="L969" s="7" t="str">
        <f>IFERROR(__xludf.DUMMYFUNCTION("""COMPUTED_VALUE"""),"4,8")</f>
        <v>4,8</v>
      </c>
      <c r="M969" s="7"/>
      <c r="N969" s="7"/>
      <c r="O969" s="7"/>
    </row>
    <row r="970">
      <c r="A970" s="29">
        <f>IFERROR(__xludf.DUMMYFUNCTION("""COMPUTED_VALUE"""),966.0)</f>
        <v>966</v>
      </c>
      <c r="B970" s="7" t="str">
        <f>IFERROR(__xludf.DUMMYFUNCTION("""COMPUTED_VALUE"""),"Vor mehr als 30 Tagen")</f>
        <v>Vor mehr als 30 Tagen</v>
      </c>
      <c r="C970" s="7" t="str">
        <f>IFERROR(__xludf.DUMMYFUNCTION("""COMPUTED_VALUE"""),"Big Data Engineer (m/w/d)")</f>
        <v>Big Data Engineer (m/w/d)</v>
      </c>
      <c r="D970" s="7" t="str">
        <f>IFERROR(__xludf.DUMMYFUNCTION("""COMPUTED_VALUE"""),"Deutschland")</f>
        <v>Deutschland</v>
      </c>
      <c r="E970" s="7" t="str">
        <f>IFERROR(__xludf.DUMMYFUNCTION("""COMPUTED_VALUE"""),"mayato GmbH")</f>
        <v>mayato GmbH</v>
      </c>
      <c r="F970" s="7" t="str">
        <f>IFERROR(__xludf.DUMMYFUNCTION("""COMPUTED_VALUE"""),"None")</f>
        <v>None</v>
      </c>
      <c r="G970" s="7" t="str">
        <f>IFERROR(__xludf.DUMMYFUNCTION("""COMPUTED_VALUE"""),"No salary data")</f>
        <v>No salary data</v>
      </c>
      <c r="H970" s="7" t="str">
        <f>IFERROR(__xludf.DUMMYFUNCTION("""COMPUTED_VALUE"""),"No salary data")</f>
        <v>No salary data</v>
      </c>
      <c r="I970" s="7" t="str">
        <f>IFERROR(__xludf.DUMMYFUNCTION("""COMPUTED_VALUE"""),"No salary data")</f>
        <v>No salary data</v>
      </c>
      <c r="J970" s="7" t="str">
        <f>IFERROR(__xludf.DUMMYFUNCTION("""COMPUTED_VALUE"""),"Machine Learning")</f>
        <v>Machine Learning</v>
      </c>
      <c r="K970" s="7" t="str">
        <f>IFERROR(__xludf.DUMMYFUNCTION("""COMPUTED_VALUE"""),"No job type data")</f>
        <v>No job type data</v>
      </c>
      <c r="L970" s="7" t="str">
        <f>IFERROR(__xludf.DUMMYFUNCTION("""COMPUTED_VALUE"""),"4,8")</f>
        <v>4,8</v>
      </c>
      <c r="M970" s="7"/>
      <c r="N970" s="7"/>
      <c r="O970" s="7"/>
    </row>
    <row r="971">
      <c r="A971" s="29">
        <f>IFERROR(__xludf.DUMMYFUNCTION("""COMPUTED_VALUE"""),967.0)</f>
        <v>967</v>
      </c>
      <c r="B971" s="7" t="str">
        <f>IFERROR(__xludf.DUMMYFUNCTION("""COMPUTED_VALUE"""),"vor 25 Tagen")</f>
        <v>vor 25 Tagen</v>
      </c>
      <c r="C971" s="7" t="str">
        <f>IFERROR(__xludf.DUMMYFUNCTION("""COMPUTED_VALUE"""),"Applied Science Manager - Retail Data Products (w/m/d)")</f>
        <v>Applied Science Manager - Retail Data Products (w/m/d)</v>
      </c>
      <c r="D971" s="7" t="str">
        <f>IFERROR(__xludf.DUMMYFUNCTION("""COMPUTED_VALUE"""),"Berlin")</f>
        <v>Berlin</v>
      </c>
      <c r="E971" s="7" t="str">
        <f>IFERROR(__xludf.DUMMYFUNCTION("""COMPUTED_VALUE"""),"Zalando")</f>
        <v>Zalando</v>
      </c>
      <c r="F971" s="7" t="str">
        <f>IFERROR(__xludf.DUMMYFUNCTION("""COMPUTED_VALUE"""),"None")</f>
        <v>None</v>
      </c>
      <c r="G971" s="7" t="str">
        <f>IFERROR(__xludf.DUMMYFUNCTION("""COMPUTED_VALUE"""),"No salary data")</f>
        <v>No salary data</v>
      </c>
      <c r="H971" s="7" t="str">
        <f>IFERROR(__xludf.DUMMYFUNCTION("""COMPUTED_VALUE"""),"No salary data")</f>
        <v>No salary data</v>
      </c>
      <c r="I971" s="7" t="str">
        <f>IFERROR(__xludf.DUMMYFUNCTION("""COMPUTED_VALUE"""),"No salary data")</f>
        <v>No salary data</v>
      </c>
      <c r="J971" s="7" t="str">
        <f>IFERROR(__xludf.DUMMYFUNCTION("""COMPUTED_VALUE"""),"Python, SQL, Excel, Machine Learning, Statistic, Git, Agile")</f>
        <v>Python, SQL, Excel, Machine Learning, Statistic, Git, Agile</v>
      </c>
      <c r="K971" s="7" t="str">
        <f>IFERROR(__xludf.DUMMYFUNCTION("""COMPUTED_VALUE"""),"Volunteer")</f>
        <v>Volunteer</v>
      </c>
      <c r="L971" s="7" t="str">
        <f>IFERROR(__xludf.DUMMYFUNCTION("""COMPUTED_VALUE"""),"3,1")</f>
        <v>3,1</v>
      </c>
      <c r="M971" s="7"/>
      <c r="N971" s="7"/>
      <c r="O971" s="7"/>
    </row>
    <row r="972">
      <c r="A972" s="29">
        <f>IFERROR(__xludf.DUMMYFUNCTION("""COMPUTED_VALUE"""),968.0)</f>
        <v>968</v>
      </c>
      <c r="B972" s="7" t="str">
        <f>IFERROR(__xludf.DUMMYFUNCTION("""COMPUTED_VALUE"""),"Vor mehr als 30 Tagen")</f>
        <v>Vor mehr als 30 Tagen</v>
      </c>
      <c r="C972" s="7" t="str">
        <f>IFERROR(__xludf.DUMMYFUNCTION("""COMPUTED_VALUE"""),"Equity Trading &amp; Hedging")</f>
        <v>Equity Trading &amp; Hedging</v>
      </c>
      <c r="D972" s="7" t="str">
        <f>IFERROR(__xludf.DUMMYFUNCTION("""COMPUTED_VALUE"""),"Berlin")</f>
        <v>Berlin</v>
      </c>
      <c r="E972" s="7" t="str">
        <f>IFERROR(__xludf.DUMMYFUNCTION("""COMPUTED_VALUE"""),"Anker Investments AG")</f>
        <v>Anker Investments AG</v>
      </c>
      <c r="F972" s="7" t="str">
        <f>IFERROR(__xludf.DUMMYFUNCTION("""COMPUTED_VALUE"""),"None")</f>
        <v>None</v>
      </c>
      <c r="G972" s="7" t="str">
        <f>IFERROR(__xludf.DUMMYFUNCTION("""COMPUTED_VALUE"""),"No salary data")</f>
        <v>No salary data</v>
      </c>
      <c r="H972" s="7" t="str">
        <f>IFERROR(__xludf.DUMMYFUNCTION("""COMPUTED_VALUE"""),"No salary data")</f>
        <v>No salary data</v>
      </c>
      <c r="I972" s="7" t="str">
        <f>IFERROR(__xludf.DUMMYFUNCTION("""COMPUTED_VALUE"""),"No salary data")</f>
        <v>No salary data</v>
      </c>
      <c r="J972" s="7" t="str">
        <f>IFERROR(__xludf.DUMMYFUNCTION("""COMPUTED_VALUE"""),"Python")</f>
        <v>Python</v>
      </c>
      <c r="K972" s="7" t="str">
        <f>IFERROR(__xludf.DUMMYFUNCTION("""COMPUTED_VALUE"""),"Full-Time")</f>
        <v>Full-Time</v>
      </c>
      <c r="L972" s="7" t="str">
        <f>IFERROR(__xludf.DUMMYFUNCTION("""COMPUTED_VALUE"""),"None")</f>
        <v>None</v>
      </c>
      <c r="M972" s="7"/>
      <c r="N972" s="7"/>
      <c r="O972" s="7"/>
    </row>
    <row r="973">
      <c r="A973" s="29">
        <f>IFERROR(__xludf.DUMMYFUNCTION("""COMPUTED_VALUE"""),969.0)</f>
        <v>969</v>
      </c>
      <c r="B973" s="7" t="str">
        <f>IFERROR(__xludf.DUMMYFUNCTION("""COMPUTED_VALUE"""),"Vor mehr als 30 Tagen")</f>
        <v>Vor mehr als 30 Tagen</v>
      </c>
      <c r="C973" s="7" t="str">
        <f>IFERROR(__xludf.DUMMYFUNCTION("""COMPUTED_VALUE"""),"Credit Risk Modeller")</f>
        <v>Credit Risk Modeller</v>
      </c>
      <c r="D973" s="7" t="str">
        <f>IFERROR(__xludf.DUMMYFUNCTION("""COMPUTED_VALUE"""),"Frankfurt am Main")</f>
        <v>Frankfurt am Main</v>
      </c>
      <c r="E973" s="7" t="str">
        <f>IFERROR(__xludf.DUMMYFUNCTION("""COMPUTED_VALUE"""),"Hamlyn Williams")</f>
        <v>Hamlyn Williams</v>
      </c>
      <c r="F973" s="7" t="str">
        <f>IFERROR(__xludf.DUMMYFUNCTION("""COMPUTED_VALUE"""),"None")</f>
        <v>None</v>
      </c>
      <c r="G973" s="7" t="str">
        <f>IFERROR(__xludf.DUMMYFUNCTION("""COMPUTED_VALUE"""),"No salary data")</f>
        <v>No salary data</v>
      </c>
      <c r="H973" s="7" t="str">
        <f>IFERROR(__xludf.DUMMYFUNCTION("""COMPUTED_VALUE"""),"No salary data")</f>
        <v>No salary data</v>
      </c>
      <c r="I973" s="7" t="str">
        <f>IFERROR(__xludf.DUMMYFUNCTION("""COMPUTED_VALUE"""),"No salary data")</f>
        <v>No salary data</v>
      </c>
      <c r="J973" s="7"/>
      <c r="K973" s="7" t="str">
        <f>IFERROR(__xludf.DUMMYFUNCTION("""COMPUTED_VALUE"""),"No job type data")</f>
        <v>No job type data</v>
      </c>
      <c r="L973" s="7" t="str">
        <f>IFERROR(__xludf.DUMMYFUNCTION("""COMPUTED_VALUE"""),"None")</f>
        <v>None</v>
      </c>
      <c r="M973" s="7"/>
      <c r="N973" s="7"/>
      <c r="O973" s="7"/>
    </row>
    <row r="974">
      <c r="A974" s="29">
        <f>IFERROR(__xludf.DUMMYFUNCTION("""COMPUTED_VALUE"""),970.0)</f>
        <v>970</v>
      </c>
      <c r="B974" s="7" t="str">
        <f>IFERROR(__xludf.DUMMYFUNCTION("""COMPUTED_VALUE"""),"Vor mehr als 30 Tagen")</f>
        <v>Vor mehr als 30 Tagen</v>
      </c>
      <c r="C974" s="7" t="str">
        <f>IFERROR(__xludf.DUMMYFUNCTION("""COMPUTED_VALUE"""),"Bachelor of Science - Wirtschaftsinformatik (m/w/d)")</f>
        <v>Bachelor of Science - Wirtschaftsinformatik (m/w/d)</v>
      </c>
      <c r="D974" s="7" t="str">
        <f>IFERROR(__xludf.DUMMYFUNCTION("""COMPUTED_VALUE"""),"Karlsruhe")</f>
        <v>Karlsruhe</v>
      </c>
      <c r="E974" s="7" t="str">
        <f>IFERROR(__xludf.DUMMYFUNCTION("""COMPUTED_VALUE"""),"Sparkasse Karlsruhe")</f>
        <v>Sparkasse Karlsruhe</v>
      </c>
      <c r="F974" s="7" t="str">
        <f>IFERROR(__xludf.DUMMYFUNCTION("""COMPUTED_VALUE"""),"None")</f>
        <v>None</v>
      </c>
      <c r="G974" s="7" t="str">
        <f>IFERROR(__xludf.DUMMYFUNCTION("""COMPUTED_VALUE"""),"No salary data")</f>
        <v>No salary data</v>
      </c>
      <c r="H974" s="7" t="str">
        <f>IFERROR(__xludf.DUMMYFUNCTION("""COMPUTED_VALUE"""),"No salary data")</f>
        <v>No salary data</v>
      </c>
      <c r="I974" s="7" t="str">
        <f>IFERROR(__xludf.DUMMYFUNCTION("""COMPUTED_VALUE"""),"No salary data")</f>
        <v>No salary data</v>
      </c>
      <c r="J974" s="7" t="str">
        <f>IFERROR(__xludf.DUMMYFUNCTION("""COMPUTED_VALUE"""),"Agile")</f>
        <v>Agile</v>
      </c>
      <c r="K974" s="7" t="str">
        <f>IFERROR(__xludf.DUMMYFUNCTION("""COMPUTED_VALUE"""),"No job type data")</f>
        <v>No job type data</v>
      </c>
      <c r="L974" s="7" t="str">
        <f>IFERROR(__xludf.DUMMYFUNCTION("""COMPUTED_VALUE"""),"None")</f>
        <v>None</v>
      </c>
      <c r="M974" s="7"/>
      <c r="N974" s="7"/>
      <c r="O974" s="7"/>
    </row>
    <row r="975">
      <c r="A975" s="29">
        <f>IFERROR(__xludf.DUMMYFUNCTION("""COMPUTED_VALUE"""),971.0)</f>
        <v>971</v>
      </c>
      <c r="B975" s="7" t="str">
        <f>IFERROR(__xludf.DUMMYFUNCTION("""COMPUTED_VALUE"""),"Vor mehr als 30 Tagen")</f>
        <v>Vor mehr als 30 Tagen</v>
      </c>
      <c r="C975" s="7" t="str">
        <f>IFERROR(__xludf.DUMMYFUNCTION("""COMPUTED_VALUE"""),"Praktikum im Business Intelligence - Bereich Betriebsorganis...")</f>
        <v>Praktikum im Business Intelligence - Bereich Betriebsorganis...</v>
      </c>
      <c r="D975" s="7" t="str">
        <f>IFERROR(__xludf.DUMMYFUNCTION("""COMPUTED_VALUE"""),"Coburg")</f>
        <v>Coburg</v>
      </c>
      <c r="E975" s="7" t="str">
        <f>IFERROR(__xludf.DUMMYFUNCTION("""COMPUTED_VALUE"""),"HUK-COBURG Versicherungsgruppe")</f>
        <v>HUK-COBURG Versicherungsgruppe</v>
      </c>
      <c r="F975" s="7" t="str">
        <f>IFERROR(__xludf.DUMMYFUNCTION("""COMPUTED_VALUE"""),"None")</f>
        <v>None</v>
      </c>
      <c r="G975" s="7" t="str">
        <f>IFERROR(__xludf.DUMMYFUNCTION("""COMPUTED_VALUE"""),"No salary data")</f>
        <v>No salary data</v>
      </c>
      <c r="H975" s="7" t="str">
        <f>IFERROR(__xludf.DUMMYFUNCTION("""COMPUTED_VALUE"""),"No salary data")</f>
        <v>No salary data</v>
      </c>
      <c r="I975" s="7" t="str">
        <f>IFERROR(__xludf.DUMMYFUNCTION("""COMPUTED_VALUE"""),"No salary data")</f>
        <v>No salary data</v>
      </c>
      <c r="J975" s="7" t="str">
        <f>IFERROR(__xludf.DUMMYFUNCTION("""COMPUTED_VALUE"""),"SQL")</f>
        <v>SQL</v>
      </c>
      <c r="K975" s="7" t="str">
        <f>IFERROR(__xludf.DUMMYFUNCTION("""COMPUTED_VALUE"""),"No job type data")</f>
        <v>No job type data</v>
      </c>
      <c r="L975" s="7" t="str">
        <f>IFERROR(__xludf.DUMMYFUNCTION("""COMPUTED_VALUE"""),"3,0")</f>
        <v>3,0</v>
      </c>
      <c r="M975" s="7"/>
      <c r="N975" s="7"/>
      <c r="O975" s="7"/>
    </row>
    <row r="976">
      <c r="A976" s="29">
        <f>IFERROR(__xludf.DUMMYFUNCTION("""COMPUTED_VALUE"""),972.0)</f>
        <v>972</v>
      </c>
      <c r="B976" s="7" t="str">
        <f>IFERROR(__xludf.DUMMYFUNCTION("""COMPUTED_VALUE"""),"vor 10 Tagen")</f>
        <v>vor 10 Tagen</v>
      </c>
      <c r="C976" s="7" t="str">
        <f>IFERROR(__xludf.DUMMYFUNCTION("""COMPUTED_VALUE"""),"Wirtschaftsingenieur für Stammdatenmanagement (m/w/d) / Glob...")</f>
        <v>Wirtschaftsingenieur für Stammdatenmanagement (m/w/d) / Glob...</v>
      </c>
      <c r="D976" s="7" t="str">
        <f>IFERROR(__xludf.DUMMYFUNCTION("""COMPUTED_VALUE"""),"Buseck")</f>
        <v>Buseck</v>
      </c>
      <c r="E976" s="7" t="str">
        <f>IFERROR(__xludf.DUMMYFUNCTION("""COMPUTED_VALUE"""),"Alexander Binzel Schweisstechnik GmbH &amp; Co. KG")</f>
        <v>Alexander Binzel Schweisstechnik GmbH &amp; Co. KG</v>
      </c>
      <c r="F976" s="7" t="str">
        <f>IFERROR(__xludf.DUMMYFUNCTION("""COMPUTED_VALUE"""),"None")</f>
        <v>None</v>
      </c>
      <c r="G976" s="7" t="str">
        <f>IFERROR(__xludf.DUMMYFUNCTION("""COMPUTED_VALUE"""),"No salary data")</f>
        <v>No salary data</v>
      </c>
      <c r="H976" s="7" t="str">
        <f>IFERROR(__xludf.DUMMYFUNCTION("""COMPUTED_VALUE"""),"No salary data")</f>
        <v>No salary data</v>
      </c>
      <c r="I976" s="7" t="str">
        <f>IFERROR(__xludf.DUMMYFUNCTION("""COMPUTED_VALUE"""),"No salary data")</f>
        <v>No salary data</v>
      </c>
      <c r="J976" s="7"/>
      <c r="K976" s="7" t="str">
        <f>IFERROR(__xludf.DUMMYFUNCTION("""COMPUTED_VALUE"""),"No job type data")</f>
        <v>No job type data</v>
      </c>
      <c r="L976" s="7" t="str">
        <f>IFERROR(__xludf.DUMMYFUNCTION("""COMPUTED_VALUE"""),"None")</f>
        <v>None</v>
      </c>
      <c r="M976" s="7"/>
      <c r="N976" s="7"/>
      <c r="O976" s="7"/>
    </row>
    <row r="977">
      <c r="A977" s="29">
        <f>IFERROR(__xludf.DUMMYFUNCTION("""COMPUTED_VALUE"""),973.0)</f>
        <v>973</v>
      </c>
      <c r="B977" s="7" t="str">
        <f>IFERROR(__xludf.DUMMYFUNCTION("""COMPUTED_VALUE"""),"Vor mehr als 30 Tagen")</f>
        <v>Vor mehr als 30 Tagen</v>
      </c>
      <c r="C977" s="7" t="str">
        <f>IFERROR(__xludf.DUMMYFUNCTION("""COMPUTED_VALUE"""),"Data Engineer (f/m/d)")</f>
        <v>Data Engineer (f/m/d)</v>
      </c>
      <c r="D977" s="7" t="str">
        <f>IFERROR(__xludf.DUMMYFUNCTION("""COMPUTED_VALUE"""),"Düsseldorf")</f>
        <v>Düsseldorf</v>
      </c>
      <c r="E977" s="7" t="str">
        <f>IFERROR(__xludf.DUMMYFUNCTION("""COMPUTED_VALUE"""),"FRED Executive Search GmbH")</f>
        <v>FRED Executive Search GmbH</v>
      </c>
      <c r="F977" s="7" t="str">
        <f>IFERROR(__xludf.DUMMYFUNCTION("""COMPUTED_VALUE"""),"None")</f>
        <v>None</v>
      </c>
      <c r="G977" s="7" t="str">
        <f>IFERROR(__xludf.DUMMYFUNCTION("""COMPUTED_VALUE"""),"No salary data")</f>
        <v>No salary data</v>
      </c>
      <c r="H977" s="7" t="str">
        <f>IFERROR(__xludf.DUMMYFUNCTION("""COMPUTED_VALUE"""),"No salary data")</f>
        <v>No salary data</v>
      </c>
      <c r="I977" s="7" t="str">
        <f>IFERROR(__xludf.DUMMYFUNCTION("""COMPUTED_VALUE"""),"No salary data")</f>
        <v>No salary data</v>
      </c>
      <c r="J977" s="7" t="str">
        <f>IFERROR(__xludf.DUMMYFUNCTION("""COMPUTED_VALUE"""),"Python, SQL, Statistic, Git")</f>
        <v>Python, SQL, Statistic, Git</v>
      </c>
      <c r="K977" s="7" t="str">
        <f>IFERROR(__xludf.DUMMYFUNCTION("""COMPUTED_VALUE"""),"No job type data")</f>
        <v>No job type data</v>
      </c>
      <c r="L977" s="7" t="str">
        <f>IFERROR(__xludf.DUMMYFUNCTION("""COMPUTED_VALUE"""),"None")</f>
        <v>None</v>
      </c>
      <c r="M977" s="7"/>
      <c r="N977" s="7"/>
      <c r="O977" s="7"/>
    </row>
    <row r="978">
      <c r="A978" s="29">
        <f>IFERROR(__xludf.DUMMYFUNCTION("""COMPUTED_VALUE"""),974.0)</f>
        <v>974</v>
      </c>
      <c r="B978" s="7" t="str">
        <f>IFERROR(__xludf.DUMMYFUNCTION("""COMPUTED_VALUE"""),"vor 2 Tagen")</f>
        <v>vor 2 Tagen</v>
      </c>
      <c r="C978" s="7" t="str">
        <f>IFERROR(__xludf.DUMMYFUNCTION("""COMPUTED_VALUE"""),"Consultant Automatisierung (m/w/d)")</f>
        <v>Consultant Automatisierung (m/w/d)</v>
      </c>
      <c r="D978" s="7" t="str">
        <f>IFERROR(__xludf.DUMMYFUNCTION("""COMPUTED_VALUE"""),"Köln")</f>
        <v>Köln</v>
      </c>
      <c r="E978" s="7" t="str">
        <f>IFERROR(__xludf.DUMMYFUNCTION("""COMPUTED_VALUE"""),"Ing. Punzenberger COPA-DATA GmbH")</f>
        <v>Ing. Punzenberger COPA-DATA GmbH</v>
      </c>
      <c r="F978" s="7" t="str">
        <f>IFERROR(__xludf.DUMMYFUNCTION("""COMPUTED_VALUE"""),"None")</f>
        <v>None</v>
      </c>
      <c r="G978" s="7" t="str">
        <f>IFERROR(__xludf.DUMMYFUNCTION("""COMPUTED_VALUE"""),"No salary data")</f>
        <v>No salary data</v>
      </c>
      <c r="H978" s="7" t="str">
        <f>IFERROR(__xludf.DUMMYFUNCTION("""COMPUTED_VALUE"""),"No salary data")</f>
        <v>No salary data</v>
      </c>
      <c r="I978" s="7" t="str">
        <f>IFERROR(__xludf.DUMMYFUNCTION("""COMPUTED_VALUE"""),"No salary data")</f>
        <v>No salary data</v>
      </c>
      <c r="J978" s="7"/>
      <c r="K978" s="7" t="str">
        <f>IFERROR(__xludf.DUMMYFUNCTION("""COMPUTED_VALUE"""),"No job type data")</f>
        <v>No job type data</v>
      </c>
      <c r="L978" s="7" t="str">
        <f>IFERROR(__xludf.DUMMYFUNCTION("""COMPUTED_VALUE"""),"None")</f>
        <v>None</v>
      </c>
      <c r="M978" s="7"/>
      <c r="N978" s="7"/>
      <c r="O978" s="7"/>
    </row>
    <row r="979">
      <c r="A979" s="29">
        <f>IFERROR(__xludf.DUMMYFUNCTION("""COMPUTED_VALUE"""),975.0)</f>
        <v>975</v>
      </c>
      <c r="B979" s="7" t="str">
        <f>IFERROR(__xludf.DUMMYFUNCTION("""COMPUTED_VALUE"""),"vor 3 Tagen")</f>
        <v>vor 3 Tagen</v>
      </c>
      <c r="C979" s="7" t="str">
        <f>IFERROR(__xludf.DUMMYFUNCTION("""COMPUTED_VALUE"""),"Data Scientists (m/w/d) für KI/ML - Videointerview möglich")</f>
        <v>Data Scientists (m/w/d) für KI/ML - Videointerview möglich</v>
      </c>
      <c r="D979" s="7" t="str">
        <f>IFERROR(__xludf.DUMMYFUNCTION("""COMPUTED_VALUE"""),"Karlsruhe")</f>
        <v>Karlsruhe</v>
      </c>
      <c r="E979" s="7" t="str">
        <f>IFERROR(__xludf.DUMMYFUNCTION("""COMPUTED_VALUE"""),"Fiducia &amp; GAD IT AG")</f>
        <v>Fiducia &amp; GAD IT AG</v>
      </c>
      <c r="F979" s="7" t="str">
        <f>IFERROR(__xludf.DUMMYFUNCTION("""COMPUTED_VALUE"""),"None")</f>
        <v>None</v>
      </c>
      <c r="G979" s="7" t="str">
        <f>IFERROR(__xludf.DUMMYFUNCTION("""COMPUTED_VALUE"""),"No salary data")</f>
        <v>No salary data</v>
      </c>
      <c r="H979" s="7" t="str">
        <f>IFERROR(__xludf.DUMMYFUNCTION("""COMPUTED_VALUE"""),"No salary data")</f>
        <v>No salary data</v>
      </c>
      <c r="I979" s="7" t="str">
        <f>IFERROR(__xludf.DUMMYFUNCTION("""COMPUTED_VALUE"""),"No salary data")</f>
        <v>No salary data</v>
      </c>
      <c r="J979" s="7" t="str">
        <f>IFERROR(__xludf.DUMMYFUNCTION("""COMPUTED_VALUE"""),"Python, SQL, Machine Learning, Agile")</f>
        <v>Python, SQL, Machine Learning, Agile</v>
      </c>
      <c r="K979" s="7" t="str">
        <f>IFERROR(__xludf.DUMMYFUNCTION("""COMPUTED_VALUE"""),"No job type data")</f>
        <v>No job type data</v>
      </c>
      <c r="L979" s="7" t="str">
        <f>IFERROR(__xludf.DUMMYFUNCTION("""COMPUTED_VALUE"""),"None")</f>
        <v>None</v>
      </c>
      <c r="M979" s="7"/>
      <c r="N979" s="7"/>
      <c r="O979" s="7"/>
    </row>
    <row r="980">
      <c r="A980" s="29">
        <f>IFERROR(__xludf.DUMMYFUNCTION("""COMPUTED_VALUE"""),976.0)</f>
        <v>976</v>
      </c>
      <c r="B980" s="7" t="str">
        <f>IFERROR(__xludf.DUMMYFUNCTION("""COMPUTED_VALUE"""),"vor 5 Tagen")</f>
        <v>vor 5 Tagen</v>
      </c>
      <c r="C980" s="7" t="str">
        <f>IFERROR(__xludf.DUMMYFUNCTION("""COMPUTED_VALUE"""),"Structured Finance Data Analyst (m/f/d) Native Level Speaker...")</f>
        <v>Structured Finance Data Analyst (m/f/d) Native Level Speaker...</v>
      </c>
      <c r="D980" s="7" t="str">
        <f>IFERROR(__xludf.DUMMYFUNCTION("""COMPUTED_VALUE"""),"Frankfurt am Main")</f>
        <v>Frankfurt am Main</v>
      </c>
      <c r="E980" s="7" t="str">
        <f>IFERROR(__xludf.DUMMYFUNCTION("""COMPUTED_VALUE"""),"European DataWarehouse GmbH")</f>
        <v>European DataWarehouse GmbH</v>
      </c>
      <c r="F980" s="7" t="str">
        <f>IFERROR(__xludf.DUMMYFUNCTION("""COMPUTED_VALUE"""),"None")</f>
        <v>None</v>
      </c>
      <c r="G980" s="7" t="str">
        <f>IFERROR(__xludf.DUMMYFUNCTION("""COMPUTED_VALUE"""),"No salary data")</f>
        <v>No salary data</v>
      </c>
      <c r="H980" s="7" t="str">
        <f>IFERROR(__xludf.DUMMYFUNCTION("""COMPUTED_VALUE"""),"No salary data")</f>
        <v>No salary data</v>
      </c>
      <c r="I980" s="7" t="str">
        <f>IFERROR(__xludf.DUMMYFUNCTION("""COMPUTED_VALUE"""),"No salary data")</f>
        <v>No salary data</v>
      </c>
      <c r="J980" s="7" t="str">
        <f>IFERROR(__xludf.DUMMYFUNCTION("""COMPUTED_VALUE"""),"SQL, Statistic")</f>
        <v>SQL, Statistic</v>
      </c>
      <c r="K980" s="7" t="str">
        <f>IFERROR(__xludf.DUMMYFUNCTION("""COMPUTED_VALUE"""),"Permanent")</f>
        <v>Permanent</v>
      </c>
      <c r="L980" s="7" t="str">
        <f>IFERROR(__xludf.DUMMYFUNCTION("""COMPUTED_VALUE"""),"None")</f>
        <v>None</v>
      </c>
      <c r="M980" s="7"/>
      <c r="N980" s="7"/>
      <c r="O980" s="7"/>
    </row>
    <row r="981">
      <c r="A981" s="29">
        <f>IFERROR(__xludf.DUMMYFUNCTION("""COMPUTED_VALUE"""),977.0)</f>
        <v>977</v>
      </c>
      <c r="B981" s="7" t="str">
        <f>IFERROR(__xludf.DUMMYFUNCTION("""COMPUTED_VALUE"""),"Gerade geschaltet")</f>
        <v>Gerade geschaltet</v>
      </c>
      <c r="C981" s="7" t="str">
        <f>IFERROR(__xludf.DUMMYFUNCTION("""COMPUTED_VALUE"""),"Valuation Expert for Complex Financial Instruments")</f>
        <v>Valuation Expert for Complex Financial Instruments</v>
      </c>
      <c r="D981" s="7" t="str">
        <f>IFERROR(__xludf.DUMMYFUNCTION("""COMPUTED_VALUE"""),"Frankfurt am Main")</f>
        <v>Frankfurt am Main</v>
      </c>
      <c r="E981" s="7" t="str">
        <f>IFERROR(__xludf.DUMMYFUNCTION("""COMPUTED_VALUE"""),"Brock &amp; Decker")</f>
        <v>Brock &amp; Decker</v>
      </c>
      <c r="F981" s="7" t="str">
        <f>IFERROR(__xludf.DUMMYFUNCTION("""COMPUTED_VALUE"""),"None")</f>
        <v>None</v>
      </c>
      <c r="G981" s="7" t="str">
        <f>IFERROR(__xludf.DUMMYFUNCTION("""COMPUTED_VALUE"""),"No salary data")</f>
        <v>No salary data</v>
      </c>
      <c r="H981" s="7" t="str">
        <f>IFERROR(__xludf.DUMMYFUNCTION("""COMPUTED_VALUE"""),"No salary data")</f>
        <v>No salary data</v>
      </c>
      <c r="I981" s="7" t="str">
        <f>IFERROR(__xludf.DUMMYFUNCTION("""COMPUTED_VALUE"""),"No salary data")</f>
        <v>No salary data</v>
      </c>
      <c r="J981" s="7"/>
      <c r="K981" s="7" t="str">
        <f>IFERROR(__xludf.DUMMYFUNCTION("""COMPUTED_VALUE"""),"No job type data")</f>
        <v>No job type data</v>
      </c>
      <c r="L981" s="7" t="str">
        <f>IFERROR(__xludf.DUMMYFUNCTION("""COMPUTED_VALUE"""),"None")</f>
        <v>None</v>
      </c>
      <c r="M981" s="7"/>
      <c r="N981" s="7"/>
      <c r="O981" s="7"/>
    </row>
    <row r="982">
      <c r="A982" s="29">
        <f>IFERROR(__xludf.DUMMYFUNCTION("""COMPUTED_VALUE"""),978.0)</f>
        <v>978</v>
      </c>
      <c r="B982" s="7" t="str">
        <f>IFERROR(__xludf.DUMMYFUNCTION("""COMPUTED_VALUE"""),"vor 17 Tagen")</f>
        <v>vor 17 Tagen</v>
      </c>
      <c r="C982" s="7" t="str">
        <f>IFERROR(__xludf.DUMMYFUNCTION("""COMPUTED_VALUE"""),"Senior Researcher Machine Learning (m/f/d) for Leading Resea...")</f>
        <v>Senior Researcher Machine Learning (m/f/d) for Leading Resea...</v>
      </c>
      <c r="D982" s="7" t="str">
        <f>IFERROR(__xludf.DUMMYFUNCTION("""COMPUTED_VALUE"""),"Berlin")</f>
        <v>Berlin</v>
      </c>
      <c r="E982" s="7" t="str">
        <f>IFERROR(__xludf.DUMMYFUNCTION("""COMPUTED_VALUE"""),"Glocomms")</f>
        <v>Glocomms</v>
      </c>
      <c r="F982" s="7" t="str">
        <f>IFERROR(__xludf.DUMMYFUNCTION("""COMPUTED_VALUE"""),"60,000 € - 100,000 € pro Jahr")</f>
        <v>60,000 € - 100,000 € pro Jahr</v>
      </c>
      <c r="G982" s="7">
        <f>IFERROR(__xludf.DUMMYFUNCTION("""COMPUTED_VALUE"""),80000.0)</f>
        <v>80000</v>
      </c>
      <c r="H982" s="7" t="str">
        <f>IFERROR(__xludf.DUMMYFUNCTION("""COMPUTED_VALUE"""),"Jahr")</f>
        <v>Jahr</v>
      </c>
      <c r="I982" s="7">
        <f>IFERROR(__xludf.DUMMYFUNCTION("""COMPUTED_VALUE"""),80000.0)</f>
        <v>80000</v>
      </c>
      <c r="J982" s="7" t="str">
        <f>IFERROR(__xludf.DUMMYFUNCTION("""COMPUTED_VALUE"""),"Python, Machine Learning")</f>
        <v>Python, Machine Learning</v>
      </c>
      <c r="K982" s="7" t="str">
        <f>IFERROR(__xludf.DUMMYFUNCTION("""COMPUTED_VALUE"""),"No job type data")</f>
        <v>No job type data</v>
      </c>
      <c r="L982" s="7" t="str">
        <f>IFERROR(__xludf.DUMMYFUNCTION("""COMPUTED_VALUE"""),"None")</f>
        <v>None</v>
      </c>
      <c r="M982" s="7"/>
      <c r="N982" s="7"/>
      <c r="O982" s="7"/>
    </row>
    <row r="983">
      <c r="A983" s="29">
        <f>IFERROR(__xludf.DUMMYFUNCTION("""COMPUTED_VALUE"""),979.0)</f>
        <v>979</v>
      </c>
      <c r="B983" s="7" t="str">
        <f>IFERROR(__xludf.DUMMYFUNCTION("""COMPUTED_VALUE"""),"vor 13 Tagen")</f>
        <v>vor 13 Tagen</v>
      </c>
      <c r="C983" s="7" t="str">
        <f>IFERROR(__xludf.DUMMYFUNCTION("""COMPUTED_VALUE"""),"Data collection Analyst Berlin 12 Month Contract")</f>
        <v>Data collection Analyst Berlin 12 Month Contract</v>
      </c>
      <c r="D983" s="7" t="str">
        <f>IFERROR(__xludf.DUMMYFUNCTION("""COMPUTED_VALUE"""),"Berlin")</f>
        <v>Berlin</v>
      </c>
      <c r="E983" s="7" t="str">
        <f>IFERROR(__xludf.DUMMYFUNCTION("""COMPUTED_VALUE"""),"Apollo Solutions")</f>
        <v>Apollo Solutions</v>
      </c>
      <c r="F983" s="7" t="str">
        <f>IFERROR(__xludf.DUMMYFUNCTION("""COMPUTED_VALUE"""),"None")</f>
        <v>None</v>
      </c>
      <c r="G983" s="7" t="str">
        <f>IFERROR(__xludf.DUMMYFUNCTION("""COMPUTED_VALUE"""),"No salary data")</f>
        <v>No salary data</v>
      </c>
      <c r="H983" s="7" t="str">
        <f>IFERROR(__xludf.DUMMYFUNCTION("""COMPUTED_VALUE"""),"No salary data")</f>
        <v>No salary data</v>
      </c>
      <c r="I983" s="7" t="str">
        <f>IFERROR(__xludf.DUMMYFUNCTION("""COMPUTED_VALUE"""),"No salary data")</f>
        <v>No salary data</v>
      </c>
      <c r="J983" s="7" t="str">
        <f>IFERROR(__xludf.DUMMYFUNCTION("""COMPUTED_VALUE"""),"Git, Agile")</f>
        <v>Git, Agile</v>
      </c>
      <c r="K983" s="7" t="str">
        <f>IFERROR(__xludf.DUMMYFUNCTION("""COMPUTED_VALUE"""),"Contract")</f>
        <v>Contract</v>
      </c>
      <c r="L983" s="7" t="str">
        <f>IFERROR(__xludf.DUMMYFUNCTION("""COMPUTED_VALUE"""),"None")</f>
        <v>None</v>
      </c>
      <c r="M983" s="7"/>
      <c r="N983" s="7"/>
      <c r="O983" s="7"/>
    </row>
    <row r="984">
      <c r="A984" s="29">
        <f>IFERROR(__xludf.DUMMYFUNCTION("""COMPUTED_VALUE"""),980.0)</f>
        <v>980</v>
      </c>
      <c r="B984" s="7" t="str">
        <f>IFERROR(__xludf.DUMMYFUNCTION("""COMPUTED_VALUE"""),"Heute")</f>
        <v>Heute</v>
      </c>
      <c r="C984" s="7" t="str">
        <f>IFERROR(__xludf.DUMMYFUNCTION("""COMPUTED_VALUE"""),"Director Data Analysis &amp; Simulation (w/m/d)")</f>
        <v>Director Data Analysis &amp; Simulation (w/m/d)</v>
      </c>
      <c r="D984" s="7" t="str">
        <f>IFERROR(__xludf.DUMMYFUNCTION("""COMPUTED_VALUE"""),"Giebelstadt")</f>
        <v>Giebelstadt</v>
      </c>
      <c r="E984" s="7" t="str">
        <f>IFERROR(__xludf.DUMMYFUNCTION("""COMPUTED_VALUE"""),"SSI Schäfer Automation GmbH")</f>
        <v>SSI Schäfer Automation GmbH</v>
      </c>
      <c r="F984" s="7" t="str">
        <f>IFERROR(__xludf.DUMMYFUNCTION("""COMPUTED_VALUE"""),"None")</f>
        <v>None</v>
      </c>
      <c r="G984" s="7" t="str">
        <f>IFERROR(__xludf.DUMMYFUNCTION("""COMPUTED_VALUE"""),"No salary data")</f>
        <v>No salary data</v>
      </c>
      <c r="H984" s="7" t="str">
        <f>IFERROR(__xludf.DUMMYFUNCTION("""COMPUTED_VALUE"""),"No salary data")</f>
        <v>No salary data</v>
      </c>
      <c r="I984" s="7" t="str">
        <f>IFERROR(__xludf.DUMMYFUNCTION("""COMPUTED_VALUE"""),"No salary data")</f>
        <v>No salary data</v>
      </c>
      <c r="J984" s="7"/>
      <c r="K984" s="7" t="str">
        <f>IFERROR(__xludf.DUMMYFUNCTION("""COMPUTED_VALUE"""),"No job type data")</f>
        <v>No job type data</v>
      </c>
      <c r="L984" s="7" t="str">
        <f>IFERROR(__xludf.DUMMYFUNCTION("""COMPUTED_VALUE"""),"None")</f>
        <v>None</v>
      </c>
      <c r="M984" s="7"/>
      <c r="N984" s="7"/>
      <c r="O984" s="7"/>
    </row>
    <row r="985">
      <c r="A985" s="29">
        <f>IFERROR(__xludf.DUMMYFUNCTION("""COMPUTED_VALUE"""),981.0)</f>
        <v>981</v>
      </c>
      <c r="B985" s="7" t="str">
        <f>IFERROR(__xludf.DUMMYFUNCTION("""COMPUTED_VALUE"""),"vor 10 Tagen")</f>
        <v>vor 10 Tagen</v>
      </c>
      <c r="C985" s="7" t="str">
        <f>IFERROR(__xludf.DUMMYFUNCTION("""COMPUTED_VALUE"""),"SQL-Entwickler / -Programmierer / -Developer (m/w/d)")</f>
        <v>SQL-Entwickler / -Programmierer / -Developer (m/w/d)</v>
      </c>
      <c r="D985" s="7" t="str">
        <f>IFERROR(__xludf.DUMMYFUNCTION("""COMPUTED_VALUE"""),"Waldems")</f>
        <v>Waldems</v>
      </c>
      <c r="E985" s="7" t="str">
        <f>IFERROR(__xludf.DUMMYFUNCTION("""COMPUTED_VALUE"""),"INSIGHT Health GmbH &amp; Co. KG")</f>
        <v>INSIGHT Health GmbH &amp; Co. KG</v>
      </c>
      <c r="F985" s="7" t="str">
        <f>IFERROR(__xludf.DUMMYFUNCTION("""COMPUTED_VALUE"""),"None")</f>
        <v>None</v>
      </c>
      <c r="G985" s="7" t="str">
        <f>IFERROR(__xludf.DUMMYFUNCTION("""COMPUTED_VALUE"""),"No salary data")</f>
        <v>No salary data</v>
      </c>
      <c r="H985" s="7" t="str">
        <f>IFERROR(__xludf.DUMMYFUNCTION("""COMPUTED_VALUE"""),"No salary data")</f>
        <v>No salary data</v>
      </c>
      <c r="I985" s="7" t="str">
        <f>IFERROR(__xludf.DUMMYFUNCTION("""COMPUTED_VALUE"""),"No salary data")</f>
        <v>No salary data</v>
      </c>
      <c r="J985" s="7" t="str">
        <f>IFERROR(__xludf.DUMMYFUNCTION("""COMPUTED_VALUE"""),"SQL")</f>
        <v>SQL</v>
      </c>
      <c r="K985" s="7" t="str">
        <f>IFERROR(__xludf.DUMMYFUNCTION("""COMPUTED_VALUE"""),"No job type data")</f>
        <v>No job type data</v>
      </c>
      <c r="L985" s="7" t="str">
        <f>IFERROR(__xludf.DUMMYFUNCTION("""COMPUTED_VALUE"""),"None")</f>
        <v>None</v>
      </c>
      <c r="M985" s="7"/>
      <c r="N985" s="7"/>
      <c r="O985" s="7"/>
    </row>
    <row r="986">
      <c r="A986" s="29">
        <f>IFERROR(__xludf.DUMMYFUNCTION("""COMPUTED_VALUE"""),982.0)</f>
        <v>982</v>
      </c>
      <c r="B986" s="7" t="str">
        <f>IFERROR(__xludf.DUMMYFUNCTION("""COMPUTED_VALUE"""),"vor 7 Tagen")</f>
        <v>vor 7 Tagen</v>
      </c>
      <c r="C986" s="7" t="str">
        <f>IFERROR(__xludf.DUMMYFUNCTION("""COMPUTED_VALUE"""),"C# Developer")</f>
        <v>C# Developer</v>
      </c>
      <c r="D986" s="7" t="str">
        <f>IFERROR(__xludf.DUMMYFUNCTION("""COMPUTED_VALUE"""),"München")</f>
        <v>München</v>
      </c>
      <c r="E986" s="7" t="str">
        <f>IFERROR(__xludf.DUMMYFUNCTION("""COMPUTED_VALUE"""),"Who Needs Engineers")</f>
        <v>Who Needs Engineers</v>
      </c>
      <c r="F986" s="7" t="str">
        <f>IFERROR(__xludf.DUMMYFUNCTION("""COMPUTED_VALUE"""),"60,000 € - 90,000 € pro Jahr")</f>
        <v>60,000 € - 90,000 € pro Jahr</v>
      </c>
      <c r="G986" s="7">
        <f>IFERROR(__xludf.DUMMYFUNCTION("""COMPUTED_VALUE"""),75000.0)</f>
        <v>75000</v>
      </c>
      <c r="H986" s="7" t="str">
        <f>IFERROR(__xludf.DUMMYFUNCTION("""COMPUTED_VALUE"""),"Jahr")</f>
        <v>Jahr</v>
      </c>
      <c r="I986" s="7">
        <f>IFERROR(__xludf.DUMMYFUNCTION("""COMPUTED_VALUE"""),75000.0)</f>
        <v>75000</v>
      </c>
      <c r="J986" s="7" t="str">
        <f>IFERROR(__xludf.DUMMYFUNCTION("""COMPUTED_VALUE"""),"SQL")</f>
        <v>SQL</v>
      </c>
      <c r="K986" s="7" t="str">
        <f>IFERROR(__xludf.DUMMYFUNCTION("""COMPUTED_VALUE"""),"Permanent")</f>
        <v>Permanent</v>
      </c>
      <c r="L986" s="7" t="str">
        <f>IFERROR(__xludf.DUMMYFUNCTION("""COMPUTED_VALUE"""),"None")</f>
        <v>None</v>
      </c>
      <c r="M986" s="7"/>
      <c r="N986" s="7"/>
      <c r="O986" s="7"/>
    </row>
    <row r="987">
      <c r="A987" s="29">
        <f>IFERROR(__xludf.DUMMYFUNCTION("""COMPUTED_VALUE"""),983.0)</f>
        <v>983</v>
      </c>
      <c r="B987" s="7" t="str">
        <f>IFERROR(__xludf.DUMMYFUNCTION("""COMPUTED_VALUE"""),"vor 3 Tagen")</f>
        <v>vor 3 Tagen</v>
      </c>
      <c r="C987" s="7" t="str">
        <f>IFERROR(__xludf.DUMMYFUNCTION("""COMPUTED_VALUE"""),"Clinical Associate - Med Devices Support (Berne, Switzerland...")</f>
        <v>Clinical Associate - Med Devices Support (Berne, Switzerland...</v>
      </c>
      <c r="D987" s="7" t="str">
        <f>IFERROR(__xludf.DUMMYFUNCTION("""COMPUTED_VALUE"""),"Berne")</f>
        <v>Berne</v>
      </c>
      <c r="E987" s="7" t="str">
        <f>IFERROR(__xludf.DUMMYFUNCTION("""COMPUTED_VALUE"""),"NuVasive")</f>
        <v>NuVasive</v>
      </c>
      <c r="F987" s="7" t="str">
        <f>IFERROR(__xludf.DUMMYFUNCTION("""COMPUTED_VALUE"""),"75,000 € - 85,000 € pro Jahr")</f>
        <v>75,000 € - 85,000 € pro Jahr</v>
      </c>
      <c r="G987" s="7">
        <f>IFERROR(__xludf.DUMMYFUNCTION("""COMPUTED_VALUE"""),80000.0)</f>
        <v>80000</v>
      </c>
      <c r="H987" s="7" t="str">
        <f>IFERROR(__xludf.DUMMYFUNCTION("""COMPUTED_VALUE"""),"Jahr")</f>
        <v>Jahr</v>
      </c>
      <c r="I987" s="7">
        <f>IFERROR(__xludf.DUMMYFUNCTION("""COMPUTED_VALUE"""),80000.0)</f>
        <v>80000</v>
      </c>
      <c r="J987" s="7" t="str">
        <f>IFERROR(__xludf.DUMMYFUNCTION("""COMPUTED_VALUE"""),"Excel")</f>
        <v>Excel</v>
      </c>
      <c r="K987" s="7" t="str">
        <f>IFERROR(__xludf.DUMMYFUNCTION("""COMPUTED_VALUE"""),"Full-Time")</f>
        <v>Full-Time</v>
      </c>
      <c r="L987" s="7" t="str">
        <f>IFERROR(__xludf.DUMMYFUNCTION("""COMPUTED_VALUE"""),"None")</f>
        <v>None</v>
      </c>
      <c r="M987" s="7"/>
      <c r="N987" s="7"/>
      <c r="O987" s="7"/>
    </row>
    <row r="988">
      <c r="A988" s="29">
        <f>IFERROR(__xludf.DUMMYFUNCTION("""COMPUTED_VALUE"""),984.0)</f>
        <v>984</v>
      </c>
      <c r="B988" s="7" t="str">
        <f>IFERROR(__xludf.DUMMYFUNCTION("""COMPUTED_VALUE"""),"Vor mehr als 30 Tagen")</f>
        <v>Vor mehr als 30 Tagen</v>
      </c>
      <c r="C988" s="7" t="str">
        <f>IFERROR(__xludf.DUMMYFUNCTION("""COMPUTED_VALUE"""),"Credit Risk Modeller")</f>
        <v>Credit Risk Modeller</v>
      </c>
      <c r="D988" s="7" t="str">
        <f>IFERROR(__xludf.DUMMYFUNCTION("""COMPUTED_VALUE"""),"Frankfurt am Main")</f>
        <v>Frankfurt am Main</v>
      </c>
      <c r="E988" s="7" t="str">
        <f>IFERROR(__xludf.DUMMYFUNCTION("""COMPUTED_VALUE"""),"Hamlyn Williams")</f>
        <v>Hamlyn Williams</v>
      </c>
      <c r="F988" s="7" t="str">
        <f>IFERROR(__xludf.DUMMYFUNCTION("""COMPUTED_VALUE"""),"None")</f>
        <v>None</v>
      </c>
      <c r="G988" s="7" t="str">
        <f>IFERROR(__xludf.DUMMYFUNCTION("""COMPUTED_VALUE"""),"No salary data")</f>
        <v>No salary data</v>
      </c>
      <c r="H988" s="7" t="str">
        <f>IFERROR(__xludf.DUMMYFUNCTION("""COMPUTED_VALUE"""),"No salary data")</f>
        <v>No salary data</v>
      </c>
      <c r="I988" s="7" t="str">
        <f>IFERROR(__xludf.DUMMYFUNCTION("""COMPUTED_VALUE"""),"No salary data")</f>
        <v>No salary data</v>
      </c>
      <c r="J988" s="7"/>
      <c r="K988" s="7" t="str">
        <f>IFERROR(__xludf.DUMMYFUNCTION("""COMPUTED_VALUE"""),"No job type data")</f>
        <v>No job type data</v>
      </c>
      <c r="L988" s="7" t="str">
        <f>IFERROR(__xludf.DUMMYFUNCTION("""COMPUTED_VALUE"""),"None")</f>
        <v>None</v>
      </c>
      <c r="M988" s="7"/>
      <c r="N988" s="7"/>
      <c r="O988" s="7"/>
    </row>
    <row r="989">
      <c r="A989" s="29">
        <f>IFERROR(__xludf.DUMMYFUNCTION("""COMPUTED_VALUE"""),985.0)</f>
        <v>985</v>
      </c>
      <c r="B989" s="7" t="str">
        <f>IFERROR(__xludf.DUMMYFUNCTION("""COMPUTED_VALUE"""),"vor 12 Tagen")</f>
        <v>vor 12 Tagen</v>
      </c>
      <c r="C989" s="7" t="str">
        <f>IFERROR(__xludf.DUMMYFUNCTION("""COMPUTED_VALUE"""),"Business Intelligence Developer/Data Warehouse (m/w/d)")</f>
        <v>Business Intelligence Developer/Data Warehouse (m/w/d)</v>
      </c>
      <c r="D989" s="7" t="str">
        <f>IFERROR(__xludf.DUMMYFUNCTION("""COMPUTED_VALUE"""),"Nürnberg")</f>
        <v>Nürnberg</v>
      </c>
      <c r="E989" s="7" t="str">
        <f>IFERROR(__xludf.DUMMYFUNCTION("""COMPUTED_VALUE"""),"Immowelt AG")</f>
        <v>Immowelt AG</v>
      </c>
      <c r="F989" s="7" t="str">
        <f>IFERROR(__xludf.DUMMYFUNCTION("""COMPUTED_VALUE"""),"None")</f>
        <v>None</v>
      </c>
      <c r="G989" s="7" t="str">
        <f>IFERROR(__xludf.DUMMYFUNCTION("""COMPUTED_VALUE"""),"No salary data")</f>
        <v>No salary data</v>
      </c>
      <c r="H989" s="7" t="str">
        <f>IFERROR(__xludf.DUMMYFUNCTION("""COMPUTED_VALUE"""),"No salary data")</f>
        <v>No salary data</v>
      </c>
      <c r="I989" s="7" t="str">
        <f>IFERROR(__xludf.DUMMYFUNCTION("""COMPUTED_VALUE"""),"No salary data")</f>
        <v>No salary data</v>
      </c>
      <c r="J989" s="7" t="str">
        <f>IFERROR(__xludf.DUMMYFUNCTION("""COMPUTED_VALUE"""),"Python, SQL")</f>
        <v>Python, SQL</v>
      </c>
      <c r="K989" s="7" t="str">
        <f>IFERROR(__xludf.DUMMYFUNCTION("""COMPUTED_VALUE"""),"No job type data")</f>
        <v>No job type data</v>
      </c>
      <c r="L989" s="7" t="str">
        <f>IFERROR(__xludf.DUMMYFUNCTION("""COMPUTED_VALUE"""),"3,5")</f>
        <v>3,5</v>
      </c>
      <c r="M989" s="7"/>
      <c r="N989" s="7"/>
      <c r="O989" s="7"/>
    </row>
    <row r="990">
      <c r="A990" s="29">
        <f>IFERROR(__xludf.DUMMYFUNCTION("""COMPUTED_VALUE"""),986.0)</f>
        <v>986</v>
      </c>
      <c r="B990" s="7" t="str">
        <f>IFERROR(__xludf.DUMMYFUNCTION("""COMPUTED_VALUE"""),"Vor mehr als 30 Tagen")</f>
        <v>Vor mehr als 30 Tagen</v>
      </c>
      <c r="C990" s="7" t="str">
        <f>IFERROR(__xludf.DUMMYFUNCTION("""COMPUTED_VALUE"""),"Financial Controller (Frankfurt)")</f>
        <v>Financial Controller (Frankfurt)</v>
      </c>
      <c r="D990" s="7" t="str">
        <f>IFERROR(__xludf.DUMMYFUNCTION("""COMPUTED_VALUE"""),"Frankfurt am Main")</f>
        <v>Frankfurt am Main</v>
      </c>
      <c r="E990" s="7" t="str">
        <f>IFERROR(__xludf.DUMMYFUNCTION("""COMPUTED_VALUE"""),"Dartmouth Partners")</f>
        <v>Dartmouth Partners</v>
      </c>
      <c r="F990" s="7" t="str">
        <f>IFERROR(__xludf.DUMMYFUNCTION("""COMPUTED_VALUE"""),"60,000 € pro Jahr")</f>
        <v>60,000 € pro Jahr</v>
      </c>
      <c r="G990" s="7">
        <f>IFERROR(__xludf.DUMMYFUNCTION("""COMPUTED_VALUE"""),60000.0)</f>
        <v>60000</v>
      </c>
      <c r="H990" s="7" t="str">
        <f>IFERROR(__xludf.DUMMYFUNCTION("""COMPUTED_VALUE"""),"Jahr")</f>
        <v>Jahr</v>
      </c>
      <c r="I990" s="7">
        <f>IFERROR(__xludf.DUMMYFUNCTION("""COMPUTED_VALUE"""),60000.0)</f>
        <v>60000</v>
      </c>
      <c r="J990" s="7" t="str">
        <f>IFERROR(__xludf.DUMMYFUNCTION("""COMPUTED_VALUE"""),"Excel")</f>
        <v>Excel</v>
      </c>
      <c r="K990" s="7" t="str">
        <f>IFERROR(__xludf.DUMMYFUNCTION("""COMPUTED_VALUE"""),"Contract")</f>
        <v>Contract</v>
      </c>
      <c r="L990" s="7" t="str">
        <f>IFERROR(__xludf.DUMMYFUNCTION("""COMPUTED_VALUE"""),"None")</f>
        <v>None</v>
      </c>
      <c r="M990" s="7"/>
      <c r="N990" s="7"/>
      <c r="O990" s="7"/>
    </row>
    <row r="991">
      <c r="A991" s="29">
        <f>IFERROR(__xludf.DUMMYFUNCTION("""COMPUTED_VALUE"""),987.0)</f>
        <v>987</v>
      </c>
      <c r="B991" s="7" t="str">
        <f>IFERROR(__xludf.DUMMYFUNCTION("""COMPUTED_VALUE"""),"vor 10 Tagen")</f>
        <v>vor 10 Tagen</v>
      </c>
      <c r="C991" s="7" t="str">
        <f>IFERROR(__xludf.DUMMYFUNCTION("""COMPUTED_VALUE"""),"(Senior) Data Scientist (f/m/d)")</f>
        <v>(Senior) Data Scientist (f/m/d)</v>
      </c>
      <c r="D991" s="7" t="str">
        <f>IFERROR(__xludf.DUMMYFUNCTION("""COMPUTED_VALUE"""),"Düsseldorf")</f>
        <v>Düsseldorf</v>
      </c>
      <c r="E991" s="7" t="str">
        <f>IFERROR(__xludf.DUMMYFUNCTION("""COMPUTED_VALUE"""),"FRED Executive Search GmbH")</f>
        <v>FRED Executive Search GmbH</v>
      </c>
      <c r="F991" s="7" t="str">
        <f>IFERROR(__xludf.DUMMYFUNCTION("""COMPUTED_VALUE"""),"None")</f>
        <v>None</v>
      </c>
      <c r="G991" s="7" t="str">
        <f>IFERROR(__xludf.DUMMYFUNCTION("""COMPUTED_VALUE"""),"No salary data")</f>
        <v>No salary data</v>
      </c>
      <c r="H991" s="7" t="str">
        <f>IFERROR(__xludf.DUMMYFUNCTION("""COMPUTED_VALUE"""),"No salary data")</f>
        <v>No salary data</v>
      </c>
      <c r="I991" s="7" t="str">
        <f>IFERROR(__xludf.DUMMYFUNCTION("""COMPUTED_VALUE"""),"No salary data")</f>
        <v>No salary data</v>
      </c>
      <c r="J991" s="7" t="str">
        <f>IFERROR(__xludf.DUMMYFUNCTION("""COMPUTED_VALUE"""),"Python, SQL, Tableau, Excel, Machine Learning, Statistic, Git")</f>
        <v>Python, SQL, Tableau, Excel, Machine Learning, Statistic, Git</v>
      </c>
      <c r="K991" s="7" t="str">
        <f>IFERROR(__xludf.DUMMYFUNCTION("""COMPUTED_VALUE"""),"No job type data")</f>
        <v>No job type data</v>
      </c>
      <c r="L991" s="7" t="str">
        <f>IFERROR(__xludf.DUMMYFUNCTION("""COMPUTED_VALUE"""),"None")</f>
        <v>None</v>
      </c>
      <c r="M991" s="7"/>
      <c r="N991" s="7"/>
      <c r="O991" s="7"/>
    </row>
    <row r="992">
      <c r="A992" s="29">
        <f>IFERROR(__xludf.DUMMYFUNCTION("""COMPUTED_VALUE"""),988.0)</f>
        <v>988</v>
      </c>
      <c r="B992" s="7" t="str">
        <f>IFERROR(__xludf.DUMMYFUNCTION("""COMPUTED_VALUE"""),"Vor mehr als 30 Tagen")</f>
        <v>Vor mehr als 30 Tagen</v>
      </c>
      <c r="C992" s="7" t="str">
        <f>IFERROR(__xludf.DUMMYFUNCTION("""COMPUTED_VALUE"""),"Equity Trading &amp; Hedging")</f>
        <v>Equity Trading &amp; Hedging</v>
      </c>
      <c r="D992" s="7" t="str">
        <f>IFERROR(__xludf.DUMMYFUNCTION("""COMPUTED_VALUE"""),"Berlin")</f>
        <v>Berlin</v>
      </c>
      <c r="E992" s="7" t="str">
        <f>IFERROR(__xludf.DUMMYFUNCTION("""COMPUTED_VALUE"""),"Anker Investments AG")</f>
        <v>Anker Investments AG</v>
      </c>
      <c r="F992" s="7" t="str">
        <f>IFERROR(__xludf.DUMMYFUNCTION("""COMPUTED_VALUE"""),"None")</f>
        <v>None</v>
      </c>
      <c r="G992" s="7" t="str">
        <f>IFERROR(__xludf.DUMMYFUNCTION("""COMPUTED_VALUE"""),"No salary data")</f>
        <v>No salary data</v>
      </c>
      <c r="H992" s="7" t="str">
        <f>IFERROR(__xludf.DUMMYFUNCTION("""COMPUTED_VALUE"""),"No salary data")</f>
        <v>No salary data</v>
      </c>
      <c r="I992" s="7" t="str">
        <f>IFERROR(__xludf.DUMMYFUNCTION("""COMPUTED_VALUE"""),"No salary data")</f>
        <v>No salary data</v>
      </c>
      <c r="J992" s="7" t="str">
        <f>IFERROR(__xludf.DUMMYFUNCTION("""COMPUTED_VALUE"""),"Python")</f>
        <v>Python</v>
      </c>
      <c r="K992" s="7" t="str">
        <f>IFERROR(__xludf.DUMMYFUNCTION("""COMPUTED_VALUE"""),"Full-Time")</f>
        <v>Full-Time</v>
      </c>
      <c r="L992" s="7" t="str">
        <f>IFERROR(__xludf.DUMMYFUNCTION("""COMPUTED_VALUE"""),"None")</f>
        <v>None</v>
      </c>
      <c r="M992" s="7"/>
      <c r="N992" s="7"/>
      <c r="O992" s="7"/>
    </row>
    <row r="993">
      <c r="A993" s="29">
        <f>IFERROR(__xludf.DUMMYFUNCTION("""COMPUTED_VALUE"""),989.0)</f>
        <v>989</v>
      </c>
      <c r="B993" s="7" t="str">
        <f>IFERROR(__xludf.DUMMYFUNCTION("""COMPUTED_VALUE"""),"Vor mehr als 30 Tagen")</f>
        <v>Vor mehr als 30 Tagen</v>
      </c>
      <c r="C993" s="7" t="str">
        <f>IFERROR(__xludf.DUMMYFUNCTION("""COMPUTED_VALUE"""),"Financial Reporting and Systems Analyst - HFM/ Essbase")</f>
        <v>Financial Reporting and Systems Analyst - HFM/ Essbase</v>
      </c>
      <c r="D993" s="7" t="str">
        <f>IFERROR(__xludf.DUMMYFUNCTION("""COMPUTED_VALUE"""),"Konstanz")</f>
        <v>Konstanz</v>
      </c>
      <c r="E993" s="7" t="str">
        <f>IFERROR(__xludf.DUMMYFUNCTION("""COMPUTED_VALUE"""),"SystemsAccountants")</f>
        <v>SystemsAccountants</v>
      </c>
      <c r="F993" s="7" t="str">
        <f>IFERROR(__xludf.DUMMYFUNCTION("""COMPUTED_VALUE"""),"None")</f>
        <v>None</v>
      </c>
      <c r="G993" s="7" t="str">
        <f>IFERROR(__xludf.DUMMYFUNCTION("""COMPUTED_VALUE"""),"No salary data")</f>
        <v>No salary data</v>
      </c>
      <c r="H993" s="7" t="str">
        <f>IFERROR(__xludf.DUMMYFUNCTION("""COMPUTED_VALUE"""),"No salary data")</f>
        <v>No salary data</v>
      </c>
      <c r="I993" s="7" t="str">
        <f>IFERROR(__xludf.DUMMYFUNCTION("""COMPUTED_VALUE"""),"No salary data")</f>
        <v>No salary data</v>
      </c>
      <c r="J993" s="7"/>
      <c r="K993" s="7" t="str">
        <f>IFERROR(__xludf.DUMMYFUNCTION("""COMPUTED_VALUE"""),"No job type data")</f>
        <v>No job type data</v>
      </c>
      <c r="L993" s="7" t="str">
        <f>IFERROR(__xludf.DUMMYFUNCTION("""COMPUTED_VALUE"""),"None")</f>
        <v>None</v>
      </c>
      <c r="M993" s="7"/>
      <c r="N993" s="7"/>
      <c r="O993" s="7"/>
    </row>
    <row r="994">
      <c r="A994" s="29">
        <f>IFERROR(__xludf.DUMMYFUNCTION("""COMPUTED_VALUE"""),990.0)</f>
        <v>990</v>
      </c>
      <c r="B994" s="7" t="str">
        <f>IFERROR(__xludf.DUMMYFUNCTION("""COMPUTED_VALUE"""),"vor 6 Tagen")</f>
        <v>vor 6 Tagen</v>
      </c>
      <c r="C994" s="7" t="str">
        <f>IFERROR(__xludf.DUMMYFUNCTION("""COMPUTED_VALUE"""),"CRM Data &amp; Lead Management Expert (m/f/d)")</f>
        <v>CRM Data &amp; Lead Management Expert (m/f/d)</v>
      </c>
      <c r="D994" s="7" t="str">
        <f>IFERROR(__xludf.DUMMYFUNCTION("""COMPUTED_VALUE"""),"Weilheim in Oberbayern")</f>
        <v>Weilheim in Oberbayern</v>
      </c>
      <c r="E994" s="7" t="str">
        <f>IFERROR(__xludf.DUMMYFUNCTION("""COMPUTED_VALUE"""),"Xylem Analytics Germany GmbH")</f>
        <v>Xylem Analytics Germany GmbH</v>
      </c>
      <c r="F994" s="7" t="str">
        <f>IFERROR(__xludf.DUMMYFUNCTION("""COMPUTED_VALUE"""),"None")</f>
        <v>None</v>
      </c>
      <c r="G994" s="7" t="str">
        <f>IFERROR(__xludf.DUMMYFUNCTION("""COMPUTED_VALUE"""),"No salary data")</f>
        <v>No salary data</v>
      </c>
      <c r="H994" s="7" t="str">
        <f>IFERROR(__xludf.DUMMYFUNCTION("""COMPUTED_VALUE"""),"No salary data")</f>
        <v>No salary data</v>
      </c>
      <c r="I994" s="7" t="str">
        <f>IFERROR(__xludf.DUMMYFUNCTION("""COMPUTED_VALUE"""),"No salary data")</f>
        <v>No salary data</v>
      </c>
      <c r="J994" s="7" t="str">
        <f>IFERROR(__xludf.DUMMYFUNCTION("""COMPUTED_VALUE"""),"SQL, Excel, Git")</f>
        <v>SQL, Excel, Git</v>
      </c>
      <c r="K994" s="7" t="str">
        <f>IFERROR(__xludf.DUMMYFUNCTION("""COMPUTED_VALUE"""),"Full-Time")</f>
        <v>Full-Time</v>
      </c>
      <c r="L994" s="7" t="str">
        <f>IFERROR(__xludf.DUMMYFUNCTION("""COMPUTED_VALUE"""),"None")</f>
        <v>None</v>
      </c>
      <c r="M994" s="7"/>
      <c r="N994" s="7"/>
      <c r="O994" s="7"/>
    </row>
    <row r="995">
      <c r="A995" s="29">
        <f>IFERROR(__xludf.DUMMYFUNCTION("""COMPUTED_VALUE"""),991.0)</f>
        <v>991</v>
      </c>
      <c r="B995" s="7" t="str">
        <f>IFERROR(__xludf.DUMMYFUNCTION("""COMPUTED_VALUE"""),"Vor mehr als 30 Tagen")</f>
        <v>Vor mehr als 30 Tagen</v>
      </c>
      <c r="C995" s="7" t="str">
        <f>IFERROR(__xludf.DUMMYFUNCTION("""COMPUTED_VALUE"""),"Financial Controller (Frankfurt)")</f>
        <v>Financial Controller (Frankfurt)</v>
      </c>
      <c r="D995" s="7" t="str">
        <f>IFERROR(__xludf.DUMMYFUNCTION("""COMPUTED_VALUE"""),"Frankfurt am Main")</f>
        <v>Frankfurt am Main</v>
      </c>
      <c r="E995" s="7" t="str">
        <f>IFERROR(__xludf.DUMMYFUNCTION("""COMPUTED_VALUE"""),"Dartmouth Partners")</f>
        <v>Dartmouth Partners</v>
      </c>
      <c r="F995" s="7" t="str">
        <f>IFERROR(__xludf.DUMMYFUNCTION("""COMPUTED_VALUE"""),"60,000 € pro Jahr")</f>
        <v>60,000 € pro Jahr</v>
      </c>
      <c r="G995" s="7">
        <f>IFERROR(__xludf.DUMMYFUNCTION("""COMPUTED_VALUE"""),60000.0)</f>
        <v>60000</v>
      </c>
      <c r="H995" s="7" t="str">
        <f>IFERROR(__xludf.DUMMYFUNCTION("""COMPUTED_VALUE"""),"Jahr")</f>
        <v>Jahr</v>
      </c>
      <c r="I995" s="7">
        <f>IFERROR(__xludf.DUMMYFUNCTION("""COMPUTED_VALUE"""),60000.0)</f>
        <v>60000</v>
      </c>
      <c r="J995" s="7" t="str">
        <f>IFERROR(__xludf.DUMMYFUNCTION("""COMPUTED_VALUE"""),"Excel")</f>
        <v>Excel</v>
      </c>
      <c r="K995" s="7" t="str">
        <f>IFERROR(__xludf.DUMMYFUNCTION("""COMPUTED_VALUE"""),"Contract")</f>
        <v>Contract</v>
      </c>
      <c r="L995" s="7" t="str">
        <f>IFERROR(__xludf.DUMMYFUNCTION("""COMPUTED_VALUE"""),"None")</f>
        <v>None</v>
      </c>
      <c r="M995" s="7"/>
      <c r="N995" s="7"/>
      <c r="O995" s="7"/>
    </row>
    <row r="996">
      <c r="A996" s="29">
        <f>IFERROR(__xludf.DUMMYFUNCTION("""COMPUTED_VALUE"""),992.0)</f>
        <v>992</v>
      </c>
      <c r="B996" s="7" t="str">
        <f>IFERROR(__xludf.DUMMYFUNCTION("""COMPUTED_VALUE"""),"vor 21 Tagen")</f>
        <v>vor 21 Tagen</v>
      </c>
      <c r="C996" s="7" t="str">
        <f>IFERROR(__xludf.DUMMYFUNCTION("""COMPUTED_VALUE"""),"(Senior) Data Engineer (m/f/d)")</f>
        <v>(Senior) Data Engineer (m/f/d)</v>
      </c>
      <c r="D996" s="7" t="str">
        <f>IFERROR(__xludf.DUMMYFUNCTION("""COMPUTED_VALUE"""),"Deutschland")</f>
        <v>Deutschland</v>
      </c>
      <c r="E996" s="7" t="str">
        <f>IFERROR(__xludf.DUMMYFUNCTION("""COMPUTED_VALUE"""),"Glocomms")</f>
        <v>Glocomms</v>
      </c>
      <c r="F996" s="7" t="str">
        <f>IFERROR(__xludf.DUMMYFUNCTION("""COMPUTED_VALUE"""),"60,000 € - 85,000 € pro Jahr")</f>
        <v>60,000 € - 85,000 € pro Jahr</v>
      </c>
      <c r="G996" s="7">
        <f>IFERROR(__xludf.DUMMYFUNCTION("""COMPUTED_VALUE"""),72500.0)</f>
        <v>72500</v>
      </c>
      <c r="H996" s="7" t="str">
        <f>IFERROR(__xludf.DUMMYFUNCTION("""COMPUTED_VALUE"""),"Jahr")</f>
        <v>Jahr</v>
      </c>
      <c r="I996" s="7">
        <f>IFERROR(__xludf.DUMMYFUNCTION("""COMPUTED_VALUE"""),72500.0)</f>
        <v>72500</v>
      </c>
      <c r="J996" s="7" t="str">
        <f>IFERROR(__xludf.DUMMYFUNCTION("""COMPUTED_VALUE"""),"Python, SQL, Git, Jira")</f>
        <v>Python, SQL, Git, Jira</v>
      </c>
      <c r="K996" s="7" t="str">
        <f>IFERROR(__xludf.DUMMYFUNCTION("""COMPUTED_VALUE"""),"No job type data")</f>
        <v>No job type data</v>
      </c>
      <c r="L996" s="7" t="str">
        <f>IFERROR(__xludf.DUMMYFUNCTION("""COMPUTED_VALUE"""),"None")</f>
        <v>None</v>
      </c>
      <c r="M996" s="7"/>
      <c r="N996" s="7"/>
      <c r="O996" s="7"/>
    </row>
    <row r="997">
      <c r="A997" s="29">
        <f>IFERROR(__xludf.DUMMYFUNCTION("""COMPUTED_VALUE"""),993.0)</f>
        <v>993</v>
      </c>
      <c r="B997" s="7" t="str">
        <f>IFERROR(__xludf.DUMMYFUNCTION("""COMPUTED_VALUE"""),"vor 4 Tagen")</f>
        <v>vor 4 Tagen</v>
      </c>
      <c r="C997" s="7" t="str">
        <f>IFERROR(__xludf.DUMMYFUNCTION("""COMPUTED_VALUE"""),"Systems Engineer - Baden-Württemberg - Stuttgart/Leonberg/Ka...")</f>
        <v>Systems Engineer - Baden-Württemberg - Stuttgart/Leonberg/Ka...</v>
      </c>
      <c r="D997" s="7" t="str">
        <f>IFERROR(__xludf.DUMMYFUNCTION("""COMPUTED_VALUE"""),"München")</f>
        <v>München</v>
      </c>
      <c r="E997" s="7" t="str">
        <f>IFERROR(__xludf.DUMMYFUNCTION("""COMPUTED_VALUE"""),"Veeam")</f>
        <v>Veeam</v>
      </c>
      <c r="F997" s="7" t="str">
        <f>IFERROR(__xludf.DUMMYFUNCTION("""COMPUTED_VALUE"""),"None")</f>
        <v>None</v>
      </c>
      <c r="G997" s="7" t="str">
        <f>IFERROR(__xludf.DUMMYFUNCTION("""COMPUTED_VALUE"""),"No salary data")</f>
        <v>No salary data</v>
      </c>
      <c r="H997" s="7" t="str">
        <f>IFERROR(__xludf.DUMMYFUNCTION("""COMPUTED_VALUE"""),"No salary data")</f>
        <v>No salary data</v>
      </c>
      <c r="I997" s="7" t="str">
        <f>IFERROR(__xludf.DUMMYFUNCTION("""COMPUTED_VALUE"""),"No salary data")</f>
        <v>No salary data</v>
      </c>
      <c r="J997" s="7" t="str">
        <f>IFERROR(__xludf.DUMMYFUNCTION("""COMPUTED_VALUE"""),"Excel")</f>
        <v>Excel</v>
      </c>
      <c r="K997" s="7" t="str">
        <f>IFERROR(__xludf.DUMMYFUNCTION("""COMPUTED_VALUE"""),"No job type data")</f>
        <v>No job type data</v>
      </c>
      <c r="L997" s="7" t="str">
        <f>IFERROR(__xludf.DUMMYFUNCTION("""COMPUTED_VALUE"""),"3,5")</f>
        <v>3,5</v>
      </c>
      <c r="M997" s="7"/>
      <c r="N997" s="7"/>
      <c r="O997" s="7"/>
    </row>
    <row r="998">
      <c r="A998" s="29">
        <f>IFERROR(__xludf.DUMMYFUNCTION("""COMPUTED_VALUE"""),994.0)</f>
        <v>994</v>
      </c>
      <c r="B998" s="7" t="str">
        <f>IFERROR(__xludf.DUMMYFUNCTION("""COMPUTED_VALUE"""),"Heute")</f>
        <v>Heute</v>
      </c>
      <c r="C998" s="7" t="str">
        <f>IFERROR(__xludf.DUMMYFUNCTION("""COMPUTED_VALUE"""),"Business Analyst (m/w/d) Agiles Anforderungsmanagement")</f>
        <v>Business Analyst (m/w/d) Agiles Anforderungsmanagement</v>
      </c>
      <c r="D998" s="7" t="str">
        <f>IFERROR(__xludf.DUMMYFUNCTION("""COMPUTED_VALUE"""),"Nürnberg")</f>
        <v>Nürnberg</v>
      </c>
      <c r="E998" s="7" t="str">
        <f>IFERROR(__xludf.DUMMYFUNCTION("""COMPUTED_VALUE"""),"MID GmbH")</f>
        <v>MID GmbH</v>
      </c>
      <c r="F998" s="7" t="str">
        <f>IFERROR(__xludf.DUMMYFUNCTION("""COMPUTED_VALUE"""),"None")</f>
        <v>None</v>
      </c>
      <c r="G998" s="7" t="str">
        <f>IFERROR(__xludf.DUMMYFUNCTION("""COMPUTED_VALUE"""),"No salary data")</f>
        <v>No salary data</v>
      </c>
      <c r="H998" s="7" t="str">
        <f>IFERROR(__xludf.DUMMYFUNCTION("""COMPUTED_VALUE"""),"No salary data")</f>
        <v>No salary data</v>
      </c>
      <c r="I998" s="7" t="str">
        <f>IFERROR(__xludf.DUMMYFUNCTION("""COMPUTED_VALUE"""),"No salary data")</f>
        <v>No salary data</v>
      </c>
      <c r="J998" s="7" t="str">
        <f>IFERROR(__xludf.DUMMYFUNCTION("""COMPUTED_VALUE"""),"Git, Agile, Jira")</f>
        <v>Git, Agile, Jira</v>
      </c>
      <c r="K998" s="7" t="str">
        <f>IFERROR(__xludf.DUMMYFUNCTION("""COMPUTED_VALUE"""),"No job type data")</f>
        <v>No job type data</v>
      </c>
      <c r="L998" s="7" t="str">
        <f>IFERROR(__xludf.DUMMYFUNCTION("""COMPUTED_VALUE"""),"4,0")</f>
        <v>4,0</v>
      </c>
      <c r="M998" s="7"/>
      <c r="N998" s="7"/>
      <c r="O998" s="7"/>
    </row>
    <row r="999">
      <c r="A999" s="29">
        <f>IFERROR(__xludf.DUMMYFUNCTION("""COMPUTED_VALUE"""),995.0)</f>
        <v>995</v>
      </c>
      <c r="B999" s="7" t="str">
        <f>IFERROR(__xludf.DUMMYFUNCTION("""COMPUTED_VALUE"""),"vor 22 Tagen")</f>
        <v>vor 22 Tagen</v>
      </c>
      <c r="C999" s="7" t="str">
        <f>IFERROR(__xludf.DUMMYFUNCTION("""COMPUTED_VALUE"""),"Duales Studium Wirtschaftsinformatik (B.Sc.)")</f>
        <v>Duales Studium Wirtschaftsinformatik (B.Sc.)</v>
      </c>
      <c r="D999" s="7" t="str">
        <f>IFERROR(__xludf.DUMMYFUNCTION("""COMPUTED_VALUE"""),"Köln")</f>
        <v>Köln</v>
      </c>
      <c r="E999" s="7" t="str">
        <f>IFERROR(__xludf.DUMMYFUNCTION("""COMPUTED_VALUE"""),"IUBH Duales Studium")</f>
        <v>IUBH Duales Studium</v>
      </c>
      <c r="F999" s="7" t="str">
        <f>IFERROR(__xludf.DUMMYFUNCTION("""COMPUTED_VALUE"""),"None")</f>
        <v>None</v>
      </c>
      <c r="G999" s="7" t="str">
        <f>IFERROR(__xludf.DUMMYFUNCTION("""COMPUTED_VALUE"""),"No salary data")</f>
        <v>No salary data</v>
      </c>
      <c r="H999" s="7" t="str">
        <f>IFERROR(__xludf.DUMMYFUNCTION("""COMPUTED_VALUE"""),"No salary data")</f>
        <v>No salary data</v>
      </c>
      <c r="I999" s="7" t="str">
        <f>IFERROR(__xludf.DUMMYFUNCTION("""COMPUTED_VALUE"""),"No salary data")</f>
        <v>No salary data</v>
      </c>
      <c r="J999" s="7"/>
      <c r="K999" s="7" t="str">
        <f>IFERROR(__xludf.DUMMYFUNCTION("""COMPUTED_VALUE"""),"No job type data")</f>
        <v>No job type data</v>
      </c>
      <c r="L999" s="7" t="str">
        <f>IFERROR(__xludf.DUMMYFUNCTION("""COMPUTED_VALUE"""),"4,3")</f>
        <v>4,3</v>
      </c>
      <c r="M999" s="7"/>
      <c r="N999" s="7"/>
      <c r="O999" s="7"/>
    </row>
    <row r="1000">
      <c r="A1000" s="29">
        <f>IFERROR(__xludf.DUMMYFUNCTION("""COMPUTED_VALUE"""),996.0)</f>
        <v>996</v>
      </c>
      <c r="B1000" s="7" t="str">
        <f>IFERROR(__xludf.DUMMYFUNCTION("""COMPUTED_VALUE"""),"vor 29 Tagen")</f>
        <v>vor 29 Tagen</v>
      </c>
      <c r="C1000" s="7" t="str">
        <f>IFERROR(__xludf.DUMMYFUNCTION("""COMPUTED_VALUE"""),"Bachelor of Science, Wirtschaftsinformatik mit dem Schwerpun...")</f>
        <v>Bachelor of Science, Wirtschaftsinformatik mit dem Schwerpun...</v>
      </c>
      <c r="D1000" s="7" t="str">
        <f>IFERROR(__xludf.DUMMYFUNCTION("""COMPUTED_VALUE"""),"Frankfurt am Main")</f>
        <v>Frankfurt am Main</v>
      </c>
      <c r="E1000" s="7" t="str">
        <f>IFERROR(__xludf.DUMMYFUNCTION("""COMPUTED_VALUE"""),"Fraport AG")</f>
        <v>Fraport AG</v>
      </c>
      <c r="F1000" s="7" t="str">
        <f>IFERROR(__xludf.DUMMYFUNCTION("""COMPUTED_VALUE"""),"None")</f>
        <v>None</v>
      </c>
      <c r="G1000" s="7" t="str">
        <f>IFERROR(__xludf.DUMMYFUNCTION("""COMPUTED_VALUE"""),"No salary data")</f>
        <v>No salary data</v>
      </c>
      <c r="H1000" s="7" t="str">
        <f>IFERROR(__xludf.DUMMYFUNCTION("""COMPUTED_VALUE"""),"No salary data")</f>
        <v>No salary data</v>
      </c>
      <c r="I1000" s="7" t="str">
        <f>IFERROR(__xludf.DUMMYFUNCTION("""COMPUTED_VALUE"""),"No salary data")</f>
        <v>No salary data</v>
      </c>
      <c r="J1000" s="7" t="str">
        <f>IFERROR(__xludf.DUMMYFUNCTION("""COMPUTED_VALUE"""),"Git")</f>
        <v>Git</v>
      </c>
      <c r="K1000" s="7" t="str">
        <f>IFERROR(__xludf.DUMMYFUNCTION("""COMPUTED_VALUE"""),"No job type data")</f>
        <v>No job type data</v>
      </c>
      <c r="L1000" s="7" t="str">
        <f>IFERROR(__xludf.DUMMYFUNCTION("""COMPUTED_VALUE"""),"3,9")</f>
        <v>3,9</v>
      </c>
      <c r="M1000" s="7"/>
      <c r="N1000" s="7"/>
      <c r="O1000" s="7"/>
    </row>
    <row r="1001">
      <c r="A1001" s="29">
        <f>IFERROR(__xludf.DUMMYFUNCTION("""COMPUTED_VALUE"""),997.0)</f>
        <v>997</v>
      </c>
      <c r="B1001" s="7" t="str">
        <f>IFERROR(__xludf.DUMMYFUNCTION("""COMPUTED_VALUE"""),"vor 2 Tagen")</f>
        <v>vor 2 Tagen</v>
      </c>
      <c r="C1001" s="7" t="str">
        <f>IFERROR(__xludf.DUMMYFUNCTION("""COMPUTED_VALUE"""),"Consultant Schwerpunkt Smart City (m/w/d)")</f>
        <v>Consultant Schwerpunkt Smart City (m/w/d)</v>
      </c>
      <c r="D1001" s="7" t="str">
        <f>IFERROR(__xludf.DUMMYFUNCTION("""COMPUTED_VALUE"""),"Köln")</f>
        <v>Köln</v>
      </c>
      <c r="E1001" s="7" t="str">
        <f>IFERROR(__xludf.DUMMYFUNCTION("""COMPUTED_VALUE"""),"Ing. Punzenberger COPA-DATA GmbH")</f>
        <v>Ing. Punzenberger COPA-DATA GmbH</v>
      </c>
      <c r="F1001" s="7" t="str">
        <f>IFERROR(__xludf.DUMMYFUNCTION("""COMPUTED_VALUE"""),"None")</f>
        <v>None</v>
      </c>
      <c r="G1001" s="7" t="str">
        <f>IFERROR(__xludf.DUMMYFUNCTION("""COMPUTED_VALUE"""),"No salary data")</f>
        <v>No salary data</v>
      </c>
      <c r="H1001" s="7" t="str">
        <f>IFERROR(__xludf.DUMMYFUNCTION("""COMPUTED_VALUE"""),"No salary data")</f>
        <v>No salary data</v>
      </c>
      <c r="I1001" s="7" t="str">
        <f>IFERROR(__xludf.DUMMYFUNCTION("""COMPUTED_VALUE"""),"No salary data")</f>
        <v>No salary data</v>
      </c>
      <c r="J1001" s="7" t="str">
        <f>IFERROR(__xludf.DUMMYFUNCTION("""COMPUTED_VALUE"""),"Git")</f>
        <v>Git</v>
      </c>
      <c r="K1001" s="7" t="str">
        <f>IFERROR(__xludf.DUMMYFUNCTION("""COMPUTED_VALUE"""),"No job type data")</f>
        <v>No job type data</v>
      </c>
      <c r="L1001" s="7" t="str">
        <f>IFERROR(__xludf.DUMMYFUNCTION("""COMPUTED_VALUE"""),"None")</f>
        <v>None</v>
      </c>
      <c r="M1001" s="7"/>
      <c r="N1001" s="7"/>
      <c r="O1001" s="7"/>
    </row>
    <row r="1002">
      <c r="A1002" s="29">
        <f>IFERROR(__xludf.DUMMYFUNCTION("""COMPUTED_VALUE"""),998.0)</f>
        <v>998</v>
      </c>
      <c r="B1002" s="7" t="str">
        <f>IFERROR(__xludf.DUMMYFUNCTION("""COMPUTED_VALUE"""),"Vor mehr als 30 Tagen")</f>
        <v>Vor mehr als 30 Tagen</v>
      </c>
      <c r="C1002" s="7" t="str">
        <f>IFERROR(__xludf.DUMMYFUNCTION("""COMPUTED_VALUE"""),"Duales Studium Wirtschaftsinformatik (B.Sc.)")</f>
        <v>Duales Studium Wirtschaftsinformatik (B.Sc.)</v>
      </c>
      <c r="D1002" s="7" t="str">
        <f>IFERROR(__xludf.DUMMYFUNCTION("""COMPUTED_VALUE"""),"Hamburg")</f>
        <v>Hamburg</v>
      </c>
      <c r="E1002" s="7" t="str">
        <f>IFERROR(__xludf.DUMMYFUNCTION("""COMPUTED_VALUE"""),"IUBH Duales Studium")</f>
        <v>IUBH Duales Studium</v>
      </c>
      <c r="F1002" s="7" t="str">
        <f>IFERROR(__xludf.DUMMYFUNCTION("""COMPUTED_VALUE"""),"None")</f>
        <v>None</v>
      </c>
      <c r="G1002" s="7" t="str">
        <f>IFERROR(__xludf.DUMMYFUNCTION("""COMPUTED_VALUE"""),"No salary data")</f>
        <v>No salary data</v>
      </c>
      <c r="H1002" s="7" t="str">
        <f>IFERROR(__xludf.DUMMYFUNCTION("""COMPUTED_VALUE"""),"No salary data")</f>
        <v>No salary data</v>
      </c>
      <c r="I1002" s="7" t="str">
        <f>IFERROR(__xludf.DUMMYFUNCTION("""COMPUTED_VALUE"""),"No salary data")</f>
        <v>No salary data</v>
      </c>
      <c r="J1002" s="7"/>
      <c r="K1002" s="7" t="str">
        <f>IFERROR(__xludf.DUMMYFUNCTION("""COMPUTED_VALUE"""),"No job type data")</f>
        <v>No job type data</v>
      </c>
      <c r="L1002" s="7" t="str">
        <f>IFERROR(__xludf.DUMMYFUNCTION("""COMPUTED_VALUE"""),"4,3")</f>
        <v>4,3</v>
      </c>
      <c r="M1002" s="7"/>
      <c r="N1002" s="7"/>
      <c r="O1002" s="7"/>
    </row>
    <row r="1003">
      <c r="A1003" s="29">
        <f>IFERROR(__xludf.DUMMYFUNCTION("""COMPUTED_VALUE"""),999.0)</f>
        <v>999</v>
      </c>
      <c r="B1003" s="7" t="str">
        <f>IFERROR(__xludf.DUMMYFUNCTION("""COMPUTED_VALUE"""),"Vor mehr als 30 Tagen")</f>
        <v>Vor mehr als 30 Tagen</v>
      </c>
      <c r="C1003" s="7" t="str">
        <f>IFERROR(__xludf.DUMMYFUNCTION("""COMPUTED_VALUE"""),"Duales Studium Wirtschaftsinformatik 2021")</f>
        <v>Duales Studium Wirtschaftsinformatik 2021</v>
      </c>
      <c r="D1003" s="7" t="str">
        <f>IFERROR(__xludf.DUMMYFUNCTION("""COMPUTED_VALUE"""),"Neckarsulm")</f>
        <v>Neckarsulm</v>
      </c>
      <c r="E1003" s="7" t="str">
        <f>IFERROR(__xludf.DUMMYFUNCTION("""COMPUTED_VALUE"""),"Schwarz Dienstleistungen")</f>
        <v>Schwarz Dienstleistungen</v>
      </c>
      <c r="F1003" s="7" t="str">
        <f>IFERROR(__xludf.DUMMYFUNCTION("""COMPUTED_VALUE"""),"None")</f>
        <v>None</v>
      </c>
      <c r="G1003" s="7" t="str">
        <f>IFERROR(__xludf.DUMMYFUNCTION("""COMPUTED_VALUE"""),"No salary data")</f>
        <v>No salary data</v>
      </c>
      <c r="H1003" s="7" t="str">
        <f>IFERROR(__xludf.DUMMYFUNCTION("""COMPUTED_VALUE"""),"No salary data")</f>
        <v>No salary data</v>
      </c>
      <c r="I1003" s="7" t="str">
        <f>IFERROR(__xludf.DUMMYFUNCTION("""COMPUTED_VALUE"""),"No salary data")</f>
        <v>No salary data</v>
      </c>
      <c r="J1003" s="7"/>
      <c r="K1003" s="7" t="str">
        <f>IFERROR(__xludf.DUMMYFUNCTION("""COMPUTED_VALUE"""),"No job type data")</f>
        <v>No job type data</v>
      </c>
      <c r="L1003" s="7" t="str">
        <f>IFERROR(__xludf.DUMMYFUNCTION("""COMPUTED_VALUE"""),"3,5")</f>
        <v>3,5</v>
      </c>
      <c r="M1003" s="7"/>
      <c r="N1003" s="7"/>
      <c r="O1003" s="7"/>
    </row>
    <row r="1004">
      <c r="A1004" s="29">
        <f>IFERROR(__xludf.DUMMYFUNCTION("""COMPUTED_VALUE"""),1000.0)</f>
        <v>1000</v>
      </c>
      <c r="B1004" s="7" t="str">
        <f>IFERROR(__xludf.DUMMYFUNCTION("""COMPUTED_VALUE"""),"vor 8 Tagen")</f>
        <v>vor 8 Tagen</v>
      </c>
      <c r="C1004" s="7" t="str">
        <f>IFERROR(__xludf.DUMMYFUNCTION("""COMPUTED_VALUE"""),"Fachinformatiker für Anwendungsentwicklung im Bereich Busine...")</f>
        <v>Fachinformatiker für Anwendungsentwicklung im Bereich Busine...</v>
      </c>
      <c r="D1004" s="7" t="str">
        <f>IFERROR(__xludf.DUMMYFUNCTION("""COMPUTED_VALUE"""),"Nürnberg")</f>
        <v>Nürnberg</v>
      </c>
      <c r="E1004" s="7" t="str">
        <f>IFERROR(__xludf.DUMMYFUNCTION("""COMPUTED_VALUE"""),"Immowelt AG")</f>
        <v>Immowelt AG</v>
      </c>
      <c r="F1004" s="7" t="str">
        <f>IFERROR(__xludf.DUMMYFUNCTION("""COMPUTED_VALUE"""),"None")</f>
        <v>None</v>
      </c>
      <c r="G1004" s="7" t="str">
        <f>IFERROR(__xludf.DUMMYFUNCTION("""COMPUTED_VALUE"""),"No salary data")</f>
        <v>No salary data</v>
      </c>
      <c r="H1004" s="7" t="str">
        <f>IFERROR(__xludf.DUMMYFUNCTION("""COMPUTED_VALUE"""),"No salary data")</f>
        <v>No salary data</v>
      </c>
      <c r="I1004" s="7" t="str">
        <f>IFERROR(__xludf.DUMMYFUNCTION("""COMPUTED_VALUE"""),"No salary data")</f>
        <v>No salary data</v>
      </c>
      <c r="J1004" s="7" t="str">
        <f>IFERROR(__xludf.DUMMYFUNCTION("""COMPUTED_VALUE"""),"SQL, Git")</f>
        <v>SQL, Git</v>
      </c>
      <c r="K1004" s="7" t="str">
        <f>IFERROR(__xludf.DUMMYFUNCTION("""COMPUTED_VALUE"""),"No job type data")</f>
        <v>No job type data</v>
      </c>
      <c r="L1004" s="7" t="str">
        <f>IFERROR(__xludf.DUMMYFUNCTION("""COMPUTED_VALUE"""),"3,5")</f>
        <v>3,5</v>
      </c>
      <c r="M1004" s="7"/>
      <c r="N1004" s="7"/>
      <c r="O1004" s="7"/>
    </row>
    <row r="1005">
      <c r="A1005" s="29">
        <f>IFERROR(__xludf.DUMMYFUNCTION("""COMPUTED_VALUE"""),1001.0)</f>
        <v>1001</v>
      </c>
      <c r="B1005" s="7" t="str">
        <f>IFERROR(__xludf.DUMMYFUNCTION("""COMPUTED_VALUE"""),"vor 6 Tagen")</f>
        <v>vor 6 Tagen</v>
      </c>
      <c r="C1005" s="7" t="str">
        <f>IFERROR(__xludf.DUMMYFUNCTION("""COMPUTED_VALUE"""),"Machine learning scientist (m/w/d)")</f>
        <v>Machine learning scientist (m/w/d)</v>
      </c>
      <c r="D1005" s="7" t="str">
        <f>IFERROR(__xludf.DUMMYFUNCTION("""COMPUTED_VALUE"""),"Berlin")</f>
        <v>Berlin</v>
      </c>
      <c r="E1005" s="7" t="str">
        <f>IFERROR(__xludf.DUMMYFUNCTION("""COMPUTED_VALUE"""),"DEEPSPIN")</f>
        <v>DEEPSPIN</v>
      </c>
      <c r="F1005" s="7" t="str">
        <f>IFERROR(__xludf.DUMMYFUNCTION("""COMPUTED_VALUE"""),"60,000 € - 80,000 € pro Jahr")</f>
        <v>60,000 € - 80,000 € pro Jahr</v>
      </c>
      <c r="G1005" s="7">
        <f>IFERROR(__xludf.DUMMYFUNCTION("""COMPUTED_VALUE"""),70000.0)</f>
        <v>70000</v>
      </c>
      <c r="H1005" s="7" t="str">
        <f>IFERROR(__xludf.DUMMYFUNCTION("""COMPUTED_VALUE"""),"Jahr")</f>
        <v>Jahr</v>
      </c>
      <c r="I1005" s="7">
        <f>IFERROR(__xludf.DUMMYFUNCTION("""COMPUTED_VALUE"""),70000.0)</f>
        <v>70000</v>
      </c>
      <c r="J1005" s="7" t="str">
        <f>IFERROR(__xludf.DUMMYFUNCTION("""COMPUTED_VALUE"""),"Python, Excel, Machine Learning")</f>
        <v>Python, Excel, Machine Learning</v>
      </c>
      <c r="K1005" s="7" t="str">
        <f>IFERROR(__xludf.DUMMYFUNCTION("""COMPUTED_VALUE"""),"Full-Time")</f>
        <v>Full-Time</v>
      </c>
      <c r="L1005" s="7" t="str">
        <f>IFERROR(__xludf.DUMMYFUNCTION("""COMPUTED_VALUE"""),"None")</f>
        <v>None</v>
      </c>
      <c r="M1005" s="7"/>
      <c r="N1005" s="7"/>
      <c r="O1005" s="7"/>
    </row>
    <row r="1006">
      <c r="A1006" s="29">
        <f>IFERROR(__xludf.DUMMYFUNCTION("""COMPUTED_VALUE"""),1002.0)</f>
        <v>1002</v>
      </c>
      <c r="B1006" s="7" t="str">
        <f>IFERROR(__xludf.DUMMYFUNCTION("""COMPUTED_VALUE"""),"vor 25 Tagen")</f>
        <v>vor 25 Tagen</v>
      </c>
      <c r="C1006" s="7" t="str">
        <f>IFERROR(__xludf.DUMMYFUNCTION("""COMPUTED_VALUE"""),"Data Manager (m/w/divers) Produktdaten / PIM")</f>
        <v>Data Manager (m/w/divers) Produktdaten / PIM</v>
      </c>
      <c r="D1006" s="7" t="str">
        <f>IFERROR(__xludf.DUMMYFUNCTION("""COMPUTED_VALUE"""),"Kempenich")</f>
        <v>Kempenich</v>
      </c>
      <c r="E1006" s="7" t="str">
        <f>IFERROR(__xludf.DUMMYFUNCTION("""COMPUTED_VALUE"""),"wolfcraft GmbH")</f>
        <v>wolfcraft GmbH</v>
      </c>
      <c r="F1006" s="7" t="str">
        <f>IFERROR(__xludf.DUMMYFUNCTION("""COMPUTED_VALUE"""),"None")</f>
        <v>None</v>
      </c>
      <c r="G1006" s="7" t="str">
        <f>IFERROR(__xludf.DUMMYFUNCTION("""COMPUTED_VALUE"""),"No salary data")</f>
        <v>No salary data</v>
      </c>
      <c r="H1006" s="7" t="str">
        <f>IFERROR(__xludf.DUMMYFUNCTION("""COMPUTED_VALUE"""),"No salary data")</f>
        <v>No salary data</v>
      </c>
      <c r="I1006" s="7" t="str">
        <f>IFERROR(__xludf.DUMMYFUNCTION("""COMPUTED_VALUE"""),"No salary data")</f>
        <v>No salary data</v>
      </c>
      <c r="J1006" s="7" t="str">
        <f>IFERROR(__xludf.DUMMYFUNCTION("""COMPUTED_VALUE"""),"Agile")</f>
        <v>Agile</v>
      </c>
      <c r="K1006" s="7" t="str">
        <f>IFERROR(__xludf.DUMMYFUNCTION("""COMPUTED_VALUE"""),"No job type data")</f>
        <v>No job type data</v>
      </c>
      <c r="L1006" s="7" t="str">
        <f>IFERROR(__xludf.DUMMYFUNCTION("""COMPUTED_VALUE"""),"4,3")</f>
        <v>4,3</v>
      </c>
      <c r="M1006" s="7"/>
      <c r="N1006" s="7"/>
      <c r="O1006" s="7"/>
    </row>
    <row r="1007">
      <c r="A1007" s="29">
        <f>IFERROR(__xludf.DUMMYFUNCTION("""COMPUTED_VALUE"""),1003.0)</f>
        <v>1003</v>
      </c>
      <c r="B1007" s="7" t="str">
        <f>IFERROR(__xludf.DUMMYFUNCTION("""COMPUTED_VALUE"""),"vor 28 Tagen")</f>
        <v>vor 28 Tagen</v>
      </c>
      <c r="C1007" s="7" t="str">
        <f>IFERROR(__xludf.DUMMYFUNCTION("""COMPUTED_VALUE"""),"W2-Professur für „Data Science – insbesondere Machine und De...")</f>
        <v>W2-Professur für „Data Science – insbesondere Machine und De...</v>
      </c>
      <c r="D1007" s="7" t="str">
        <f>IFERROR(__xludf.DUMMYFUNCTION("""COMPUTED_VALUE"""),"Kiel")</f>
        <v>Kiel</v>
      </c>
      <c r="E1007" s="7" t="str">
        <f>IFERROR(__xludf.DUMMYFUNCTION("""COMPUTED_VALUE"""),"Fachhochschule Kiel")</f>
        <v>Fachhochschule Kiel</v>
      </c>
      <c r="F1007" s="7" t="str">
        <f>IFERROR(__xludf.DUMMYFUNCTION("""COMPUTED_VALUE"""),"None")</f>
        <v>None</v>
      </c>
      <c r="G1007" s="7" t="str">
        <f>IFERROR(__xludf.DUMMYFUNCTION("""COMPUTED_VALUE"""),"No salary data")</f>
        <v>No salary data</v>
      </c>
      <c r="H1007" s="7" t="str">
        <f>IFERROR(__xludf.DUMMYFUNCTION("""COMPUTED_VALUE"""),"No salary data")</f>
        <v>No salary data</v>
      </c>
      <c r="I1007" s="7" t="str">
        <f>IFERROR(__xludf.DUMMYFUNCTION("""COMPUTED_VALUE"""),"No salary data")</f>
        <v>No salary data</v>
      </c>
      <c r="J1007" s="7" t="str">
        <f>IFERROR(__xludf.DUMMYFUNCTION("""COMPUTED_VALUE"""),"Python, Deep Learning")</f>
        <v>Python, Deep Learning</v>
      </c>
      <c r="K1007" s="7" t="str">
        <f>IFERROR(__xludf.DUMMYFUNCTION("""COMPUTED_VALUE"""),"No job type data")</f>
        <v>No job type data</v>
      </c>
      <c r="L1007" s="7" t="str">
        <f>IFERROR(__xludf.DUMMYFUNCTION("""COMPUTED_VALUE"""),"None")</f>
        <v>None</v>
      </c>
      <c r="M1007" s="7"/>
      <c r="N1007" s="7"/>
      <c r="O1007" s="7"/>
    </row>
    <row r="1008">
      <c r="A1008" s="29">
        <f>IFERROR(__xludf.DUMMYFUNCTION("""COMPUTED_VALUE"""),1004.0)</f>
        <v>1004</v>
      </c>
      <c r="B1008" s="7" t="str">
        <f>IFERROR(__xludf.DUMMYFUNCTION("""COMPUTED_VALUE"""),"vor 8 Tagen")</f>
        <v>vor 8 Tagen</v>
      </c>
      <c r="C1008" s="7" t="str">
        <f>IFERROR(__xludf.DUMMYFUNCTION("""COMPUTED_VALUE"""),"Fachinformatiker für Anwendungsentwicklung im Bereich Busine...")</f>
        <v>Fachinformatiker für Anwendungsentwicklung im Bereich Busine...</v>
      </c>
      <c r="D1008" s="7" t="str">
        <f>IFERROR(__xludf.DUMMYFUNCTION("""COMPUTED_VALUE"""),"Nürnberg")</f>
        <v>Nürnberg</v>
      </c>
      <c r="E1008" s="7" t="str">
        <f>IFERROR(__xludf.DUMMYFUNCTION("""COMPUTED_VALUE"""),"Immowelt AG")</f>
        <v>Immowelt AG</v>
      </c>
      <c r="F1008" s="7" t="str">
        <f>IFERROR(__xludf.DUMMYFUNCTION("""COMPUTED_VALUE"""),"None")</f>
        <v>None</v>
      </c>
      <c r="G1008" s="7" t="str">
        <f>IFERROR(__xludf.DUMMYFUNCTION("""COMPUTED_VALUE"""),"No salary data")</f>
        <v>No salary data</v>
      </c>
      <c r="H1008" s="7" t="str">
        <f>IFERROR(__xludf.DUMMYFUNCTION("""COMPUTED_VALUE"""),"No salary data")</f>
        <v>No salary data</v>
      </c>
      <c r="I1008" s="7" t="str">
        <f>IFERROR(__xludf.DUMMYFUNCTION("""COMPUTED_VALUE"""),"No salary data")</f>
        <v>No salary data</v>
      </c>
      <c r="J1008" s="7" t="str">
        <f>IFERROR(__xludf.DUMMYFUNCTION("""COMPUTED_VALUE"""),"SQL, Git")</f>
        <v>SQL, Git</v>
      </c>
      <c r="K1008" s="7" t="str">
        <f>IFERROR(__xludf.DUMMYFUNCTION("""COMPUTED_VALUE"""),"No job type data")</f>
        <v>No job type data</v>
      </c>
      <c r="L1008" s="7" t="str">
        <f>IFERROR(__xludf.DUMMYFUNCTION("""COMPUTED_VALUE"""),"3,5")</f>
        <v>3,5</v>
      </c>
      <c r="M1008" s="7"/>
      <c r="N1008" s="7"/>
      <c r="O1008" s="7"/>
    </row>
    <row r="1009">
      <c r="A1009" s="29">
        <f>IFERROR(__xludf.DUMMYFUNCTION("""COMPUTED_VALUE"""),1005.0)</f>
        <v>1005</v>
      </c>
      <c r="B1009" s="7" t="str">
        <f>IFERROR(__xludf.DUMMYFUNCTION("""COMPUTED_VALUE"""),"vor 20 Tagen")</f>
        <v>vor 20 Tagen</v>
      </c>
      <c r="C1009" s="7" t="str">
        <f>IFERROR(__xludf.DUMMYFUNCTION("""COMPUTED_VALUE"""),"Marketing Science Partner DACH")</f>
        <v>Marketing Science Partner DACH</v>
      </c>
      <c r="D1009" s="7" t="str">
        <f>IFERROR(__xludf.DUMMYFUNCTION("""COMPUTED_VALUE"""),"Hamburg, Freie und Hansestadt")</f>
        <v>Hamburg, Freie und Hansestadt</v>
      </c>
      <c r="E1009" s="7" t="str">
        <f>IFERROR(__xludf.DUMMYFUNCTION("""COMPUTED_VALUE"""),"Facebook")</f>
        <v>Facebook</v>
      </c>
      <c r="F1009" s="7" t="str">
        <f>IFERROR(__xludf.DUMMYFUNCTION("""COMPUTED_VALUE"""),"None")</f>
        <v>None</v>
      </c>
      <c r="G1009" s="7" t="str">
        <f>IFERROR(__xludf.DUMMYFUNCTION("""COMPUTED_VALUE"""),"No salary data")</f>
        <v>No salary data</v>
      </c>
      <c r="H1009" s="7" t="str">
        <f>IFERROR(__xludf.DUMMYFUNCTION("""COMPUTED_VALUE"""),"No salary data")</f>
        <v>No salary data</v>
      </c>
      <c r="I1009" s="7" t="str">
        <f>IFERROR(__xludf.DUMMYFUNCTION("""COMPUTED_VALUE"""),"No salary data")</f>
        <v>No salary data</v>
      </c>
      <c r="J1009" s="7" t="str">
        <f>IFERROR(__xludf.DUMMYFUNCTION("""COMPUTED_VALUE"""),"SQL, Excel, Statistic, Git")</f>
        <v>SQL, Excel, Statistic, Git</v>
      </c>
      <c r="K1009" s="7" t="str">
        <f>IFERROR(__xludf.DUMMYFUNCTION("""COMPUTED_VALUE"""),"Full Time")</f>
        <v>Full Time</v>
      </c>
      <c r="L1009" s="7" t="str">
        <f>IFERROR(__xludf.DUMMYFUNCTION("""COMPUTED_VALUE"""),"4,2")</f>
        <v>4,2</v>
      </c>
      <c r="M1009" s="7"/>
      <c r="N1009" s="7"/>
      <c r="O1009" s="7"/>
    </row>
    <row r="1010">
      <c r="A1010" s="29">
        <f>IFERROR(__xludf.DUMMYFUNCTION("""COMPUTED_VALUE"""),1006.0)</f>
        <v>1006</v>
      </c>
      <c r="B1010" s="7" t="str">
        <f>IFERROR(__xludf.DUMMYFUNCTION("""COMPUTED_VALUE"""),"vor 3 Tagen")</f>
        <v>vor 3 Tagen</v>
      </c>
      <c r="C1010" s="7" t="str">
        <f>IFERROR(__xludf.DUMMYFUNCTION("""COMPUTED_VALUE"""),"Master Data Management-Specialist (w/m/d) im Bereich Maschin...")</f>
        <v>Master Data Management-Specialist (w/m/d) im Bereich Maschin...</v>
      </c>
      <c r="D1010" s="7" t="str">
        <f>IFERROR(__xludf.DUMMYFUNCTION("""COMPUTED_VALUE"""),"Hamburg")</f>
        <v>Hamburg</v>
      </c>
      <c r="E1010" s="7" t="str">
        <f>IFERROR(__xludf.DUMMYFUNCTION("""COMPUTED_VALUE"""),"Hemro Manufacturing Germany GmbH")</f>
        <v>Hemro Manufacturing Germany GmbH</v>
      </c>
      <c r="F1010" s="7" t="str">
        <f>IFERROR(__xludf.DUMMYFUNCTION("""COMPUTED_VALUE"""),"None")</f>
        <v>None</v>
      </c>
      <c r="G1010" s="7" t="str">
        <f>IFERROR(__xludf.DUMMYFUNCTION("""COMPUTED_VALUE"""),"No salary data")</f>
        <v>No salary data</v>
      </c>
      <c r="H1010" s="7" t="str">
        <f>IFERROR(__xludf.DUMMYFUNCTION("""COMPUTED_VALUE"""),"No salary data")</f>
        <v>No salary data</v>
      </c>
      <c r="I1010" s="7" t="str">
        <f>IFERROR(__xludf.DUMMYFUNCTION("""COMPUTED_VALUE"""),"No salary data")</f>
        <v>No salary data</v>
      </c>
      <c r="J1010" s="7"/>
      <c r="K1010" s="7" t="str">
        <f>IFERROR(__xludf.DUMMYFUNCTION("""COMPUTED_VALUE"""),"No job type data")</f>
        <v>No job type data</v>
      </c>
      <c r="L1010" s="7" t="str">
        <f>IFERROR(__xludf.DUMMYFUNCTION("""COMPUTED_VALUE"""),"None")</f>
        <v>None</v>
      </c>
      <c r="M1010" s="7"/>
      <c r="N1010" s="7"/>
      <c r="O1010" s="7"/>
    </row>
    <row r="1011">
      <c r="A1011" s="29">
        <f>IFERROR(__xludf.DUMMYFUNCTION("""COMPUTED_VALUE"""),1007.0)</f>
        <v>1007</v>
      </c>
      <c r="B1011" s="7" t="str">
        <f>IFERROR(__xludf.DUMMYFUNCTION("""COMPUTED_VALUE"""),"vor 22 Tagen")</f>
        <v>vor 22 Tagen</v>
      </c>
      <c r="C1011" s="7" t="str">
        <f>IFERROR(__xludf.DUMMYFUNCTION("""COMPUTED_VALUE"""),"Duales Studium Wirtschaftsinformatik (B.Sc.)")</f>
        <v>Duales Studium Wirtschaftsinformatik (B.Sc.)</v>
      </c>
      <c r="D1011" s="7" t="str">
        <f>IFERROR(__xludf.DUMMYFUNCTION("""COMPUTED_VALUE"""),"Köln")</f>
        <v>Köln</v>
      </c>
      <c r="E1011" s="7" t="str">
        <f>IFERROR(__xludf.DUMMYFUNCTION("""COMPUTED_VALUE"""),"IUBH Duales Studium")</f>
        <v>IUBH Duales Studium</v>
      </c>
      <c r="F1011" s="7" t="str">
        <f>IFERROR(__xludf.DUMMYFUNCTION("""COMPUTED_VALUE"""),"None")</f>
        <v>None</v>
      </c>
      <c r="G1011" s="7" t="str">
        <f>IFERROR(__xludf.DUMMYFUNCTION("""COMPUTED_VALUE"""),"No salary data")</f>
        <v>No salary data</v>
      </c>
      <c r="H1011" s="7" t="str">
        <f>IFERROR(__xludf.DUMMYFUNCTION("""COMPUTED_VALUE"""),"No salary data")</f>
        <v>No salary data</v>
      </c>
      <c r="I1011" s="7" t="str">
        <f>IFERROR(__xludf.DUMMYFUNCTION("""COMPUTED_VALUE"""),"No salary data")</f>
        <v>No salary data</v>
      </c>
      <c r="J1011" s="7"/>
      <c r="K1011" s="7" t="str">
        <f>IFERROR(__xludf.DUMMYFUNCTION("""COMPUTED_VALUE"""),"No job type data")</f>
        <v>No job type data</v>
      </c>
      <c r="L1011" s="7" t="str">
        <f>IFERROR(__xludf.DUMMYFUNCTION("""COMPUTED_VALUE"""),"4,3")</f>
        <v>4,3</v>
      </c>
      <c r="M1011" s="7"/>
      <c r="N1011" s="7"/>
      <c r="O1011" s="7"/>
    </row>
    <row r="1012">
      <c r="A1012" s="29">
        <f>IFERROR(__xludf.DUMMYFUNCTION("""COMPUTED_VALUE"""),1008.0)</f>
        <v>1008</v>
      </c>
      <c r="B1012" s="7" t="str">
        <f>IFERROR(__xludf.DUMMYFUNCTION("""COMPUTED_VALUE"""),"vor 29 Tagen")</f>
        <v>vor 29 Tagen</v>
      </c>
      <c r="C1012" s="7" t="str">
        <f>IFERROR(__xludf.DUMMYFUNCTION("""COMPUTED_VALUE"""),"Bachelor of Science, Wirtschaftsinformatik mit dem Schwerpun...")</f>
        <v>Bachelor of Science, Wirtschaftsinformatik mit dem Schwerpun...</v>
      </c>
      <c r="D1012" s="7" t="str">
        <f>IFERROR(__xludf.DUMMYFUNCTION("""COMPUTED_VALUE"""),"Frankfurt am Main")</f>
        <v>Frankfurt am Main</v>
      </c>
      <c r="E1012" s="7" t="str">
        <f>IFERROR(__xludf.DUMMYFUNCTION("""COMPUTED_VALUE"""),"Fraport AG")</f>
        <v>Fraport AG</v>
      </c>
      <c r="F1012" s="7" t="str">
        <f>IFERROR(__xludf.DUMMYFUNCTION("""COMPUTED_VALUE"""),"None")</f>
        <v>None</v>
      </c>
      <c r="G1012" s="7" t="str">
        <f>IFERROR(__xludf.DUMMYFUNCTION("""COMPUTED_VALUE"""),"No salary data")</f>
        <v>No salary data</v>
      </c>
      <c r="H1012" s="7" t="str">
        <f>IFERROR(__xludf.DUMMYFUNCTION("""COMPUTED_VALUE"""),"No salary data")</f>
        <v>No salary data</v>
      </c>
      <c r="I1012" s="7" t="str">
        <f>IFERROR(__xludf.DUMMYFUNCTION("""COMPUTED_VALUE"""),"No salary data")</f>
        <v>No salary data</v>
      </c>
      <c r="J1012" s="7" t="str">
        <f>IFERROR(__xludf.DUMMYFUNCTION("""COMPUTED_VALUE"""),"Git")</f>
        <v>Git</v>
      </c>
      <c r="K1012" s="7" t="str">
        <f>IFERROR(__xludf.DUMMYFUNCTION("""COMPUTED_VALUE"""),"No job type data")</f>
        <v>No job type data</v>
      </c>
      <c r="L1012" s="7" t="str">
        <f>IFERROR(__xludf.DUMMYFUNCTION("""COMPUTED_VALUE"""),"3,9")</f>
        <v>3,9</v>
      </c>
      <c r="M1012" s="7"/>
      <c r="N1012" s="7"/>
      <c r="O1012" s="7"/>
    </row>
    <row r="1013">
      <c r="A1013" s="29">
        <f>IFERROR(__xludf.DUMMYFUNCTION("""COMPUTED_VALUE"""),1009.0)</f>
        <v>1009</v>
      </c>
      <c r="B1013" s="7" t="str">
        <f>IFERROR(__xludf.DUMMYFUNCTION("""COMPUTED_VALUE"""),"Vor mehr als 30 Tagen")</f>
        <v>Vor mehr als 30 Tagen</v>
      </c>
      <c r="C1013" s="7" t="str">
        <f>IFERROR(__xludf.DUMMYFUNCTION("""COMPUTED_VALUE"""),"Bachelor of Science - Wirtschaftsinformatik (m/w/d)")</f>
        <v>Bachelor of Science - Wirtschaftsinformatik (m/w/d)</v>
      </c>
      <c r="D1013" s="7" t="str">
        <f>IFERROR(__xludf.DUMMYFUNCTION("""COMPUTED_VALUE"""),"Karlsruhe")</f>
        <v>Karlsruhe</v>
      </c>
      <c r="E1013" s="7" t="str">
        <f>IFERROR(__xludf.DUMMYFUNCTION("""COMPUTED_VALUE"""),"Sparkasse Karlsruhe")</f>
        <v>Sparkasse Karlsruhe</v>
      </c>
      <c r="F1013" s="7" t="str">
        <f>IFERROR(__xludf.DUMMYFUNCTION("""COMPUTED_VALUE"""),"None")</f>
        <v>None</v>
      </c>
      <c r="G1013" s="7" t="str">
        <f>IFERROR(__xludf.DUMMYFUNCTION("""COMPUTED_VALUE"""),"No salary data")</f>
        <v>No salary data</v>
      </c>
      <c r="H1013" s="7" t="str">
        <f>IFERROR(__xludf.DUMMYFUNCTION("""COMPUTED_VALUE"""),"No salary data")</f>
        <v>No salary data</v>
      </c>
      <c r="I1013" s="7" t="str">
        <f>IFERROR(__xludf.DUMMYFUNCTION("""COMPUTED_VALUE"""),"No salary data")</f>
        <v>No salary data</v>
      </c>
      <c r="J1013" s="7" t="str">
        <f>IFERROR(__xludf.DUMMYFUNCTION("""COMPUTED_VALUE"""),"Agile")</f>
        <v>Agile</v>
      </c>
      <c r="K1013" s="7" t="str">
        <f>IFERROR(__xludf.DUMMYFUNCTION("""COMPUTED_VALUE"""),"No job type data")</f>
        <v>No job type data</v>
      </c>
      <c r="L1013" s="7" t="str">
        <f>IFERROR(__xludf.DUMMYFUNCTION("""COMPUTED_VALUE"""),"None")</f>
        <v>None</v>
      </c>
      <c r="M1013" s="7"/>
      <c r="N1013" s="7"/>
      <c r="O1013" s="7"/>
    </row>
    <row r="1014">
      <c r="A1014" s="29">
        <f>IFERROR(__xludf.DUMMYFUNCTION("""COMPUTED_VALUE"""),1010.0)</f>
        <v>1010</v>
      </c>
      <c r="B1014" s="7" t="str">
        <f>IFERROR(__xludf.DUMMYFUNCTION("""COMPUTED_VALUE"""),"Vor mehr als 30 Tagen")</f>
        <v>Vor mehr als 30 Tagen</v>
      </c>
      <c r="C1014" s="7" t="str">
        <f>IFERROR(__xludf.DUMMYFUNCTION("""COMPUTED_VALUE"""),"Praktikum im Business Intelligence - Bereich Betriebsorganis...")</f>
        <v>Praktikum im Business Intelligence - Bereich Betriebsorganis...</v>
      </c>
      <c r="D1014" s="7" t="str">
        <f>IFERROR(__xludf.DUMMYFUNCTION("""COMPUTED_VALUE"""),"Coburg")</f>
        <v>Coburg</v>
      </c>
      <c r="E1014" s="7" t="str">
        <f>IFERROR(__xludf.DUMMYFUNCTION("""COMPUTED_VALUE"""),"HUK-COBURG Versicherungsgruppe")</f>
        <v>HUK-COBURG Versicherungsgruppe</v>
      </c>
      <c r="F1014" s="7" t="str">
        <f>IFERROR(__xludf.DUMMYFUNCTION("""COMPUTED_VALUE"""),"None")</f>
        <v>None</v>
      </c>
      <c r="G1014" s="7" t="str">
        <f>IFERROR(__xludf.DUMMYFUNCTION("""COMPUTED_VALUE"""),"No salary data")</f>
        <v>No salary data</v>
      </c>
      <c r="H1014" s="7" t="str">
        <f>IFERROR(__xludf.DUMMYFUNCTION("""COMPUTED_VALUE"""),"No salary data")</f>
        <v>No salary data</v>
      </c>
      <c r="I1014" s="7" t="str">
        <f>IFERROR(__xludf.DUMMYFUNCTION("""COMPUTED_VALUE"""),"No salary data")</f>
        <v>No salary data</v>
      </c>
      <c r="J1014" s="7" t="str">
        <f>IFERROR(__xludf.DUMMYFUNCTION("""COMPUTED_VALUE"""),"SQL")</f>
        <v>SQL</v>
      </c>
      <c r="K1014" s="7" t="str">
        <f>IFERROR(__xludf.DUMMYFUNCTION("""COMPUTED_VALUE"""),"No job type data")</f>
        <v>No job type data</v>
      </c>
      <c r="L1014" s="7" t="str">
        <f>IFERROR(__xludf.DUMMYFUNCTION("""COMPUTED_VALUE"""),"3,0")</f>
        <v>3,0</v>
      </c>
      <c r="M1014" s="7"/>
      <c r="N1014" s="7"/>
      <c r="O1014" s="7"/>
    </row>
    <row r="1015">
      <c r="A1015" s="29">
        <f>IFERROR(__xludf.DUMMYFUNCTION("""COMPUTED_VALUE"""),1011.0)</f>
        <v>1011</v>
      </c>
      <c r="B1015" s="7" t="str">
        <f>IFERROR(__xludf.DUMMYFUNCTION("""COMPUTED_VALUE"""),"vor 5 Tagen")</f>
        <v>vor 5 Tagen</v>
      </c>
      <c r="C1015" s="7" t="str">
        <f>IFERROR(__xludf.DUMMYFUNCTION("""COMPUTED_VALUE"""),"Softwareentwickler*in")</f>
        <v>Softwareentwickler*in</v>
      </c>
      <c r="D1015" s="7" t="str">
        <f>IFERROR(__xludf.DUMMYFUNCTION("""COMPUTED_VALUE"""),"Karlsruhe")</f>
        <v>Karlsruhe</v>
      </c>
      <c r="E1015" s="7" t="str">
        <f>IFERROR(__xludf.DUMMYFUNCTION("""COMPUTED_VALUE"""),"synyx GmbH &amp; Co. KG")</f>
        <v>synyx GmbH &amp; Co. KG</v>
      </c>
      <c r="F1015" s="7" t="str">
        <f>IFERROR(__xludf.DUMMYFUNCTION("""COMPUTED_VALUE"""),"None")</f>
        <v>None</v>
      </c>
      <c r="G1015" s="7" t="str">
        <f>IFERROR(__xludf.DUMMYFUNCTION("""COMPUTED_VALUE"""),"No salary data")</f>
        <v>No salary data</v>
      </c>
      <c r="H1015" s="7" t="str">
        <f>IFERROR(__xludf.DUMMYFUNCTION("""COMPUTED_VALUE"""),"No salary data")</f>
        <v>No salary data</v>
      </c>
      <c r="I1015" s="7" t="str">
        <f>IFERROR(__xludf.DUMMYFUNCTION("""COMPUTED_VALUE"""),"No salary data")</f>
        <v>No salary data</v>
      </c>
      <c r="J1015" s="7" t="str">
        <f>IFERROR(__xludf.DUMMYFUNCTION("""COMPUTED_VALUE"""),"SQL, Agile")</f>
        <v>SQL, Agile</v>
      </c>
      <c r="K1015" s="7" t="str">
        <f>IFERROR(__xludf.DUMMYFUNCTION("""COMPUTED_VALUE"""),"No job type data")</f>
        <v>No job type data</v>
      </c>
      <c r="L1015" s="7" t="str">
        <f>IFERROR(__xludf.DUMMYFUNCTION("""COMPUTED_VALUE"""),"None")</f>
        <v>None</v>
      </c>
      <c r="M1015" s="7"/>
      <c r="N1015" s="7"/>
      <c r="O1015" s="7"/>
    </row>
    <row r="1016">
      <c r="A1016" s="29">
        <f>IFERROR(__xludf.DUMMYFUNCTION("""COMPUTED_VALUE"""),1012.0)</f>
        <v>1012</v>
      </c>
      <c r="B1016" s="7" t="str">
        <f>IFERROR(__xludf.DUMMYFUNCTION("""COMPUTED_VALUE"""),"vor 2 Tagen")</f>
        <v>vor 2 Tagen</v>
      </c>
      <c r="C1016" s="7" t="str">
        <f>IFERROR(__xludf.DUMMYFUNCTION("""COMPUTED_VALUE"""),"Consultant Schwerpunkt Smart City (m/w/d)")</f>
        <v>Consultant Schwerpunkt Smart City (m/w/d)</v>
      </c>
      <c r="D1016" s="7" t="str">
        <f>IFERROR(__xludf.DUMMYFUNCTION("""COMPUTED_VALUE"""),"Ludwigshafen am Rhein")</f>
        <v>Ludwigshafen am Rhein</v>
      </c>
      <c r="E1016" s="7" t="str">
        <f>IFERROR(__xludf.DUMMYFUNCTION("""COMPUTED_VALUE"""),"Ing. Punzenberger COPA-DATA GmbH")</f>
        <v>Ing. Punzenberger COPA-DATA GmbH</v>
      </c>
      <c r="F1016" s="7" t="str">
        <f>IFERROR(__xludf.DUMMYFUNCTION("""COMPUTED_VALUE"""),"None")</f>
        <v>None</v>
      </c>
      <c r="G1016" s="7" t="str">
        <f>IFERROR(__xludf.DUMMYFUNCTION("""COMPUTED_VALUE"""),"No salary data")</f>
        <v>No salary data</v>
      </c>
      <c r="H1016" s="7" t="str">
        <f>IFERROR(__xludf.DUMMYFUNCTION("""COMPUTED_VALUE"""),"No salary data")</f>
        <v>No salary data</v>
      </c>
      <c r="I1016" s="7" t="str">
        <f>IFERROR(__xludf.DUMMYFUNCTION("""COMPUTED_VALUE"""),"No salary data")</f>
        <v>No salary data</v>
      </c>
      <c r="J1016" s="7" t="str">
        <f>IFERROR(__xludf.DUMMYFUNCTION("""COMPUTED_VALUE"""),"Git")</f>
        <v>Git</v>
      </c>
      <c r="K1016" s="7" t="str">
        <f>IFERROR(__xludf.DUMMYFUNCTION("""COMPUTED_VALUE"""),"No job type data")</f>
        <v>No job type data</v>
      </c>
      <c r="L1016" s="7" t="str">
        <f>IFERROR(__xludf.DUMMYFUNCTION("""COMPUTED_VALUE"""),"None")</f>
        <v>None</v>
      </c>
      <c r="M1016" s="7"/>
      <c r="N1016" s="7"/>
      <c r="O1016" s="7"/>
    </row>
    <row r="1017">
      <c r="A1017" s="29">
        <f>IFERROR(__xludf.DUMMYFUNCTION("""COMPUTED_VALUE"""),1013.0)</f>
        <v>1013</v>
      </c>
      <c r="B1017" s="7" t="str">
        <f>IFERROR(__xludf.DUMMYFUNCTION("""COMPUTED_VALUE"""),"Heute")</f>
        <v>Heute</v>
      </c>
      <c r="C1017" s="7" t="str">
        <f>IFERROR(__xludf.DUMMYFUNCTION("""COMPUTED_VALUE"""),"Mitarbeiter ""Anwendungsentwicklung“ (m/w/d) in Teil- oder Vo...")</f>
        <v>Mitarbeiter "Anwendungsentwicklung“ (m/w/d) in Teil- oder Vo...</v>
      </c>
      <c r="D1017" s="7" t="str">
        <f>IFERROR(__xludf.DUMMYFUNCTION("""COMPUTED_VALUE"""),"Uhlstädt-Kirchhasel")</f>
        <v>Uhlstädt-Kirchhasel</v>
      </c>
      <c r="E1017" s="7" t="str">
        <f>IFERROR(__xludf.DUMMYFUNCTION("""COMPUTED_VALUE"""),"Volksbank eG Gera • Jena • Rudolstadt")</f>
        <v>Volksbank eG Gera • Jena • Rudolstadt</v>
      </c>
      <c r="F1017" s="7" t="str">
        <f>IFERROR(__xludf.DUMMYFUNCTION("""COMPUTED_VALUE"""),"None")</f>
        <v>None</v>
      </c>
      <c r="G1017" s="7" t="str">
        <f>IFERROR(__xludf.DUMMYFUNCTION("""COMPUTED_VALUE"""),"No salary data")</f>
        <v>No salary data</v>
      </c>
      <c r="H1017" s="7" t="str">
        <f>IFERROR(__xludf.DUMMYFUNCTION("""COMPUTED_VALUE"""),"No salary data")</f>
        <v>No salary data</v>
      </c>
      <c r="I1017" s="7" t="str">
        <f>IFERROR(__xludf.DUMMYFUNCTION("""COMPUTED_VALUE"""),"No salary data")</f>
        <v>No salary data</v>
      </c>
      <c r="J1017" s="7" t="str">
        <f>IFERROR(__xludf.DUMMYFUNCTION("""COMPUTED_VALUE"""),"SQL")</f>
        <v>SQL</v>
      </c>
      <c r="K1017" s="7" t="str">
        <f>IFERROR(__xludf.DUMMYFUNCTION("""COMPUTED_VALUE"""),"No job type data")</f>
        <v>No job type data</v>
      </c>
      <c r="L1017" s="7" t="str">
        <f>IFERROR(__xludf.DUMMYFUNCTION("""COMPUTED_VALUE"""),"None")</f>
        <v>None</v>
      </c>
      <c r="M1017" s="7"/>
      <c r="N1017" s="7"/>
      <c r="O1017" s="7"/>
    </row>
    <row r="1018">
      <c r="A1018" s="29">
        <f>IFERROR(__xludf.DUMMYFUNCTION("""COMPUTED_VALUE"""),1014.0)</f>
        <v>1014</v>
      </c>
      <c r="B1018" s="7" t="str">
        <f>IFERROR(__xludf.DUMMYFUNCTION("""COMPUTED_VALUE"""),"Vor mehr als 30 Tagen")</f>
        <v>Vor mehr als 30 Tagen</v>
      </c>
      <c r="C1018" s="7" t="str">
        <f>IFERROR(__xludf.DUMMYFUNCTION("""COMPUTED_VALUE"""),"Praktikum MINT - Bereich Aktuariat Komposit (w/m/d)")</f>
        <v>Praktikum MINT - Bereich Aktuariat Komposit (w/m/d)</v>
      </c>
      <c r="D1018" s="7" t="str">
        <f>IFERROR(__xludf.DUMMYFUNCTION("""COMPUTED_VALUE"""),"Coburg")</f>
        <v>Coburg</v>
      </c>
      <c r="E1018" s="7" t="str">
        <f>IFERROR(__xludf.DUMMYFUNCTION("""COMPUTED_VALUE"""),"HUK-COBURG Versicherungsgruppe")</f>
        <v>HUK-COBURG Versicherungsgruppe</v>
      </c>
      <c r="F1018" s="7" t="str">
        <f>IFERROR(__xludf.DUMMYFUNCTION("""COMPUTED_VALUE"""),"None")</f>
        <v>None</v>
      </c>
      <c r="G1018" s="7" t="str">
        <f>IFERROR(__xludf.DUMMYFUNCTION("""COMPUTED_VALUE"""),"No salary data")</f>
        <v>No salary data</v>
      </c>
      <c r="H1018" s="7" t="str">
        <f>IFERROR(__xludf.DUMMYFUNCTION("""COMPUTED_VALUE"""),"No salary data")</f>
        <v>No salary data</v>
      </c>
      <c r="I1018" s="7" t="str">
        <f>IFERROR(__xludf.DUMMYFUNCTION("""COMPUTED_VALUE"""),"No salary data")</f>
        <v>No salary data</v>
      </c>
      <c r="J1018" s="7"/>
      <c r="K1018" s="7" t="str">
        <f>IFERROR(__xludf.DUMMYFUNCTION("""COMPUTED_VALUE"""),"No job type data")</f>
        <v>No job type data</v>
      </c>
      <c r="L1018" s="7" t="str">
        <f>IFERROR(__xludf.DUMMYFUNCTION("""COMPUTED_VALUE"""),"3,0")</f>
        <v>3,0</v>
      </c>
      <c r="M1018" s="7"/>
      <c r="N1018" s="7"/>
      <c r="O1018" s="7"/>
    </row>
    <row r="1019">
      <c r="A1019" s="29">
        <f>IFERROR(__xludf.DUMMYFUNCTION("""COMPUTED_VALUE"""),1015.0)</f>
        <v>1015</v>
      </c>
      <c r="B1019" s="7" t="str">
        <f>IFERROR(__xludf.DUMMYFUNCTION("""COMPUTED_VALUE"""),"vor 8 Tagen")</f>
        <v>vor 8 Tagen</v>
      </c>
      <c r="C1019" s="7" t="str">
        <f>IFERROR(__xludf.DUMMYFUNCTION("""COMPUTED_VALUE"""),"Fachinformiker Daten- und Prozessanalyse (m/w/d) – 2020")</f>
        <v>Fachinformiker Daten- und Prozessanalyse (m/w/d) – 2020</v>
      </c>
      <c r="D1019" s="7" t="str">
        <f>IFERROR(__xludf.DUMMYFUNCTION("""COMPUTED_VALUE"""),"Nürnberg")</f>
        <v>Nürnberg</v>
      </c>
      <c r="E1019" s="7" t="str">
        <f>IFERROR(__xludf.DUMMYFUNCTION("""COMPUTED_VALUE"""),"Immowelt AG")</f>
        <v>Immowelt AG</v>
      </c>
      <c r="F1019" s="7" t="str">
        <f>IFERROR(__xludf.DUMMYFUNCTION("""COMPUTED_VALUE"""),"None")</f>
        <v>None</v>
      </c>
      <c r="G1019" s="7" t="str">
        <f>IFERROR(__xludf.DUMMYFUNCTION("""COMPUTED_VALUE"""),"No salary data")</f>
        <v>No salary data</v>
      </c>
      <c r="H1019" s="7" t="str">
        <f>IFERROR(__xludf.DUMMYFUNCTION("""COMPUTED_VALUE"""),"No salary data")</f>
        <v>No salary data</v>
      </c>
      <c r="I1019" s="7" t="str">
        <f>IFERROR(__xludf.DUMMYFUNCTION("""COMPUTED_VALUE"""),"No salary data")</f>
        <v>No salary data</v>
      </c>
      <c r="J1019" s="7" t="str">
        <f>IFERROR(__xludf.DUMMYFUNCTION("""COMPUTED_VALUE"""),"SQL, Git")</f>
        <v>SQL, Git</v>
      </c>
      <c r="K1019" s="7" t="str">
        <f>IFERROR(__xludf.DUMMYFUNCTION("""COMPUTED_VALUE"""),"No job type data")</f>
        <v>No job type data</v>
      </c>
      <c r="L1019" s="7" t="str">
        <f>IFERROR(__xludf.DUMMYFUNCTION("""COMPUTED_VALUE"""),"3,5")</f>
        <v>3,5</v>
      </c>
      <c r="M1019" s="7"/>
      <c r="N1019" s="7"/>
      <c r="O1019" s="7"/>
    </row>
    <row r="1020">
      <c r="A1020" s="29">
        <f>IFERROR(__xludf.DUMMYFUNCTION("""COMPUTED_VALUE"""),1016.0)</f>
        <v>1016</v>
      </c>
      <c r="B1020" s="7" t="str">
        <f>IFERROR(__xludf.DUMMYFUNCTION("""COMPUTED_VALUE"""),"Vor mehr als 30 Tagen")</f>
        <v>Vor mehr als 30 Tagen</v>
      </c>
      <c r="C1020" s="7" t="str">
        <f>IFERROR(__xludf.DUMMYFUNCTION("""COMPUTED_VALUE"""),"Business Intelligence Consultant (m/w/d) Schwerpunkt Datenba...")</f>
        <v>Business Intelligence Consultant (m/w/d) Schwerpunkt Datenba...</v>
      </c>
      <c r="D1020" s="7" t="str">
        <f>IFERROR(__xludf.DUMMYFUNCTION("""COMPUTED_VALUE"""),"Deutschland")</f>
        <v>Deutschland</v>
      </c>
      <c r="E1020" s="7" t="str">
        <f>IFERROR(__xludf.DUMMYFUNCTION("""COMPUTED_VALUE"""),"mayato GmbH")</f>
        <v>mayato GmbH</v>
      </c>
      <c r="F1020" s="7" t="str">
        <f>IFERROR(__xludf.DUMMYFUNCTION("""COMPUTED_VALUE"""),"None")</f>
        <v>None</v>
      </c>
      <c r="G1020" s="7" t="str">
        <f>IFERROR(__xludf.DUMMYFUNCTION("""COMPUTED_VALUE"""),"No salary data")</f>
        <v>No salary data</v>
      </c>
      <c r="H1020" s="7" t="str">
        <f>IFERROR(__xludf.DUMMYFUNCTION("""COMPUTED_VALUE"""),"No salary data")</f>
        <v>No salary data</v>
      </c>
      <c r="I1020" s="7" t="str">
        <f>IFERROR(__xludf.DUMMYFUNCTION("""COMPUTED_VALUE"""),"No salary data")</f>
        <v>No salary data</v>
      </c>
      <c r="J1020" s="7"/>
      <c r="K1020" s="7" t="str">
        <f>IFERROR(__xludf.DUMMYFUNCTION("""COMPUTED_VALUE"""),"No job type data")</f>
        <v>No job type data</v>
      </c>
      <c r="L1020" s="7" t="str">
        <f>IFERROR(__xludf.DUMMYFUNCTION("""COMPUTED_VALUE"""),"4,8")</f>
        <v>4,8</v>
      </c>
      <c r="M1020" s="7"/>
      <c r="N1020" s="7"/>
      <c r="O1020" s="7"/>
    </row>
    <row r="1021">
      <c r="A1021" s="29">
        <f>IFERROR(__xludf.DUMMYFUNCTION("""COMPUTED_VALUE"""),1017.0)</f>
        <v>1017</v>
      </c>
      <c r="B1021" s="7" t="str">
        <f>IFERROR(__xludf.DUMMYFUNCTION("""COMPUTED_VALUE"""),"vor 1 Tag")</f>
        <v>vor 1 Tag</v>
      </c>
      <c r="C1021" s="7" t="str">
        <f>IFERROR(__xludf.DUMMYFUNCTION("""COMPUTED_VALUE"""),"Controller (m/w/d)")</f>
        <v>Controller (m/w/d)</v>
      </c>
      <c r="D1021" s="7" t="str">
        <f>IFERROR(__xludf.DUMMYFUNCTION("""COMPUTED_VALUE"""),"Bad Wildungen")</f>
        <v>Bad Wildungen</v>
      </c>
      <c r="E1021" s="7" t="str">
        <f>IFERROR(__xludf.DUMMYFUNCTION("""COMPUTED_VALUE"""),"Asklepios Stadtklinik Bad Wildungen")</f>
        <v>Asklepios Stadtklinik Bad Wildungen</v>
      </c>
      <c r="F1021" s="7" t="str">
        <f>IFERROR(__xludf.DUMMYFUNCTION("""COMPUTED_VALUE"""),"None")</f>
        <v>None</v>
      </c>
      <c r="G1021" s="7" t="str">
        <f>IFERROR(__xludf.DUMMYFUNCTION("""COMPUTED_VALUE"""),"No salary data")</f>
        <v>No salary data</v>
      </c>
      <c r="H1021" s="7" t="str">
        <f>IFERROR(__xludf.DUMMYFUNCTION("""COMPUTED_VALUE"""),"No salary data")</f>
        <v>No salary data</v>
      </c>
      <c r="I1021" s="7" t="str">
        <f>IFERROR(__xludf.DUMMYFUNCTION("""COMPUTED_VALUE"""),"No salary data")</f>
        <v>No salary data</v>
      </c>
      <c r="J1021" s="7"/>
      <c r="K1021" s="7" t="str">
        <f>IFERROR(__xludf.DUMMYFUNCTION("""COMPUTED_VALUE"""),"No job type data")</f>
        <v>No job type data</v>
      </c>
      <c r="L1021" s="7" t="str">
        <f>IFERROR(__xludf.DUMMYFUNCTION("""COMPUTED_VALUE"""),"None")</f>
        <v>None</v>
      </c>
      <c r="M1021" s="7"/>
      <c r="N1021" s="7"/>
      <c r="O1021" s="7"/>
    </row>
    <row r="1022">
      <c r="A1022" s="29">
        <f>IFERROR(__xludf.DUMMYFUNCTION("""COMPUTED_VALUE"""),1018.0)</f>
        <v>1018</v>
      </c>
      <c r="B1022" s="7" t="str">
        <f>IFERROR(__xludf.DUMMYFUNCTION("""COMPUTED_VALUE"""),"vor 2 Tagen")</f>
        <v>vor 2 Tagen</v>
      </c>
      <c r="C1022" s="7" t="str">
        <f>IFERROR(__xludf.DUMMYFUNCTION("""COMPUTED_VALUE"""),"Data Scientists (m/w/d) für KI/ML in Teilzeit - Videointervi...")</f>
        <v>Data Scientists (m/w/d) für KI/ML in Teilzeit - Videointervi...</v>
      </c>
      <c r="D1022" s="7" t="str">
        <f>IFERROR(__xludf.DUMMYFUNCTION("""COMPUTED_VALUE"""),"Karlsruhe")</f>
        <v>Karlsruhe</v>
      </c>
      <c r="E1022" s="7" t="str">
        <f>IFERROR(__xludf.DUMMYFUNCTION("""COMPUTED_VALUE"""),"Fiducia &amp; GAD IT AG")</f>
        <v>Fiducia &amp; GAD IT AG</v>
      </c>
      <c r="F1022" s="7" t="str">
        <f>IFERROR(__xludf.DUMMYFUNCTION("""COMPUTED_VALUE"""),"None")</f>
        <v>None</v>
      </c>
      <c r="G1022" s="7" t="str">
        <f>IFERROR(__xludf.DUMMYFUNCTION("""COMPUTED_VALUE"""),"No salary data")</f>
        <v>No salary data</v>
      </c>
      <c r="H1022" s="7" t="str">
        <f>IFERROR(__xludf.DUMMYFUNCTION("""COMPUTED_VALUE"""),"No salary data")</f>
        <v>No salary data</v>
      </c>
      <c r="I1022" s="7" t="str">
        <f>IFERROR(__xludf.DUMMYFUNCTION("""COMPUTED_VALUE"""),"No salary data")</f>
        <v>No salary data</v>
      </c>
      <c r="J1022" s="7" t="str">
        <f>IFERROR(__xludf.DUMMYFUNCTION("""COMPUTED_VALUE"""),"Python, SQL, Machine Learning, Agile")</f>
        <v>Python, SQL, Machine Learning, Agile</v>
      </c>
      <c r="K1022" s="7" t="str">
        <f>IFERROR(__xludf.DUMMYFUNCTION("""COMPUTED_VALUE"""),"No job type data")</f>
        <v>No job type data</v>
      </c>
      <c r="L1022" s="7" t="str">
        <f>IFERROR(__xludf.DUMMYFUNCTION("""COMPUTED_VALUE"""),"None")</f>
        <v>None</v>
      </c>
      <c r="M1022" s="7"/>
      <c r="N1022" s="7"/>
      <c r="O1022" s="7"/>
    </row>
    <row r="1023">
      <c r="A1023" s="29">
        <f>IFERROR(__xludf.DUMMYFUNCTION("""COMPUTED_VALUE"""),1019.0)</f>
        <v>1019</v>
      </c>
      <c r="B1023" s="7" t="str">
        <f>IFERROR(__xludf.DUMMYFUNCTION("""COMPUTED_VALUE"""),"Vor mehr als 30 Tagen")</f>
        <v>Vor mehr als 30 Tagen</v>
      </c>
      <c r="C1023" s="7" t="str">
        <f>IFERROR(__xludf.DUMMYFUNCTION("""COMPUTED_VALUE"""),"Praktikum MINT - Bereich Aktuariat Komposit (w/m/d)")</f>
        <v>Praktikum MINT - Bereich Aktuariat Komposit (w/m/d)</v>
      </c>
      <c r="D1023" s="7" t="str">
        <f>IFERROR(__xludf.DUMMYFUNCTION("""COMPUTED_VALUE"""),"Coburg")</f>
        <v>Coburg</v>
      </c>
      <c r="E1023" s="7" t="str">
        <f>IFERROR(__xludf.DUMMYFUNCTION("""COMPUTED_VALUE"""),"HUK-COBURG Versicherungsgruppe")</f>
        <v>HUK-COBURG Versicherungsgruppe</v>
      </c>
      <c r="F1023" s="7" t="str">
        <f>IFERROR(__xludf.DUMMYFUNCTION("""COMPUTED_VALUE"""),"None")</f>
        <v>None</v>
      </c>
      <c r="G1023" s="7" t="str">
        <f>IFERROR(__xludf.DUMMYFUNCTION("""COMPUTED_VALUE"""),"No salary data")</f>
        <v>No salary data</v>
      </c>
      <c r="H1023" s="7" t="str">
        <f>IFERROR(__xludf.DUMMYFUNCTION("""COMPUTED_VALUE"""),"No salary data")</f>
        <v>No salary data</v>
      </c>
      <c r="I1023" s="7" t="str">
        <f>IFERROR(__xludf.DUMMYFUNCTION("""COMPUTED_VALUE"""),"No salary data")</f>
        <v>No salary data</v>
      </c>
      <c r="J1023" s="7"/>
      <c r="K1023" s="7" t="str">
        <f>IFERROR(__xludf.DUMMYFUNCTION("""COMPUTED_VALUE"""),"No job type data")</f>
        <v>No job type data</v>
      </c>
      <c r="L1023" s="7" t="str">
        <f>IFERROR(__xludf.DUMMYFUNCTION("""COMPUTED_VALUE"""),"3,0")</f>
        <v>3,0</v>
      </c>
      <c r="M1023" s="7"/>
      <c r="N1023" s="7"/>
      <c r="O1023" s="7"/>
    </row>
    <row r="1024">
      <c r="A1024" s="29">
        <f>IFERROR(__xludf.DUMMYFUNCTION("""COMPUTED_VALUE"""),1020.0)</f>
        <v>1020</v>
      </c>
      <c r="B1024" s="7" t="str">
        <f>IFERROR(__xludf.DUMMYFUNCTION("""COMPUTED_VALUE"""),"vor 7 Tagen")</f>
        <v>vor 7 Tagen</v>
      </c>
      <c r="C1024" s="7" t="str">
        <f>IFERROR(__xludf.DUMMYFUNCTION("""COMPUTED_VALUE"""),"Java Developer")</f>
        <v>Java Developer</v>
      </c>
      <c r="D1024" s="7" t="str">
        <f>IFERROR(__xludf.DUMMYFUNCTION("""COMPUTED_VALUE"""),"München")</f>
        <v>München</v>
      </c>
      <c r="E1024" s="7" t="str">
        <f>IFERROR(__xludf.DUMMYFUNCTION("""COMPUTED_VALUE"""),"Who Needs Engineers")</f>
        <v>Who Needs Engineers</v>
      </c>
      <c r="F1024" s="7" t="str">
        <f>IFERROR(__xludf.DUMMYFUNCTION("""COMPUTED_VALUE"""),"60,000 € - 90,000 € pro Jahr")</f>
        <v>60,000 € - 90,000 € pro Jahr</v>
      </c>
      <c r="G1024" s="7">
        <f>IFERROR(__xludf.DUMMYFUNCTION("""COMPUTED_VALUE"""),75000.0)</f>
        <v>75000</v>
      </c>
      <c r="H1024" s="7" t="str">
        <f>IFERROR(__xludf.DUMMYFUNCTION("""COMPUTED_VALUE"""),"Jahr")</f>
        <v>Jahr</v>
      </c>
      <c r="I1024" s="7">
        <f>IFERROR(__xludf.DUMMYFUNCTION("""COMPUTED_VALUE"""),75000.0)</f>
        <v>75000</v>
      </c>
      <c r="J1024" s="7" t="str">
        <f>IFERROR(__xludf.DUMMYFUNCTION("""COMPUTED_VALUE"""),"SQL")</f>
        <v>SQL</v>
      </c>
      <c r="K1024" s="7" t="str">
        <f>IFERROR(__xludf.DUMMYFUNCTION("""COMPUTED_VALUE"""),"Permanent")</f>
        <v>Permanent</v>
      </c>
      <c r="L1024" s="7" t="str">
        <f>IFERROR(__xludf.DUMMYFUNCTION("""COMPUTED_VALUE"""),"None")</f>
        <v>None</v>
      </c>
      <c r="M1024" s="7"/>
      <c r="N1024" s="7"/>
      <c r="O1024" s="7"/>
    </row>
    <row r="1025">
      <c r="A1025" s="29">
        <f>IFERROR(__xludf.DUMMYFUNCTION("""COMPUTED_VALUE"""),1021.0)</f>
        <v>1021</v>
      </c>
      <c r="B1025" s="7" t="str">
        <f>IFERROR(__xludf.DUMMYFUNCTION("""COMPUTED_VALUE"""),"vor 2 Tagen")</f>
        <v>vor 2 Tagen</v>
      </c>
      <c r="C1025" s="7" t="str">
        <f>IFERROR(__xludf.DUMMYFUNCTION("""COMPUTED_VALUE"""),"Oracle PL/SQL / APEX Developer (m/w/d)")</f>
        <v>Oracle PL/SQL / APEX Developer (m/w/d)</v>
      </c>
      <c r="D1025" s="7" t="str">
        <f>IFERROR(__xludf.DUMMYFUNCTION("""COMPUTED_VALUE"""),"Berlin")</f>
        <v>Berlin</v>
      </c>
      <c r="E1025" s="7" t="str">
        <f>IFERROR(__xludf.DUMMYFUNCTION("""COMPUTED_VALUE"""),"nexnet GmbH")</f>
        <v>nexnet GmbH</v>
      </c>
      <c r="F1025" s="7" t="str">
        <f>IFERROR(__xludf.DUMMYFUNCTION("""COMPUTED_VALUE"""),"None")</f>
        <v>None</v>
      </c>
      <c r="G1025" s="7" t="str">
        <f>IFERROR(__xludf.DUMMYFUNCTION("""COMPUTED_VALUE"""),"No salary data")</f>
        <v>No salary data</v>
      </c>
      <c r="H1025" s="7" t="str">
        <f>IFERROR(__xludf.DUMMYFUNCTION("""COMPUTED_VALUE"""),"No salary data")</f>
        <v>No salary data</v>
      </c>
      <c r="I1025" s="7" t="str">
        <f>IFERROR(__xludf.DUMMYFUNCTION("""COMPUTED_VALUE"""),"No salary data")</f>
        <v>No salary data</v>
      </c>
      <c r="J1025" s="7" t="str">
        <f>IFERROR(__xludf.DUMMYFUNCTION("""COMPUTED_VALUE"""),"SQL, Tableau")</f>
        <v>SQL, Tableau</v>
      </c>
      <c r="K1025" s="7" t="str">
        <f>IFERROR(__xludf.DUMMYFUNCTION("""COMPUTED_VALUE"""),"No job type data")</f>
        <v>No job type data</v>
      </c>
      <c r="L1025" s="7" t="str">
        <f>IFERROR(__xludf.DUMMYFUNCTION("""COMPUTED_VALUE"""),"None")</f>
        <v>None</v>
      </c>
      <c r="M1025" s="7"/>
      <c r="N1025" s="7"/>
      <c r="O1025" s="7"/>
    </row>
    <row r="1026">
      <c r="A1026" s="29">
        <f>IFERROR(__xludf.DUMMYFUNCTION("""COMPUTED_VALUE"""),1022.0)</f>
        <v>1022</v>
      </c>
      <c r="B1026" s="7" t="str">
        <f>IFERROR(__xludf.DUMMYFUNCTION("""COMPUTED_VALUE"""),"Vor mehr als 30 Tagen")</f>
        <v>Vor mehr als 30 Tagen</v>
      </c>
      <c r="C1026" s="7" t="str">
        <f>IFERROR(__xludf.DUMMYFUNCTION("""COMPUTED_VALUE"""),"Data Engineer (M/W/D)")</f>
        <v>Data Engineer (M/W/D)</v>
      </c>
      <c r="D1026" s="7" t="str">
        <f>IFERROR(__xludf.DUMMYFUNCTION("""COMPUTED_VALUE"""),"München")</f>
        <v>München</v>
      </c>
      <c r="E1026" s="7" t="str">
        <f>IFERROR(__xludf.DUMMYFUNCTION("""COMPUTED_VALUE"""),"Condé Nast Germany GmbH")</f>
        <v>Condé Nast Germany GmbH</v>
      </c>
      <c r="F1026" s="7" t="str">
        <f>IFERROR(__xludf.DUMMYFUNCTION("""COMPUTED_VALUE"""),"None")</f>
        <v>None</v>
      </c>
      <c r="G1026" s="7" t="str">
        <f>IFERROR(__xludf.DUMMYFUNCTION("""COMPUTED_VALUE"""),"No salary data")</f>
        <v>No salary data</v>
      </c>
      <c r="H1026" s="7" t="str">
        <f>IFERROR(__xludf.DUMMYFUNCTION("""COMPUTED_VALUE"""),"No salary data")</f>
        <v>No salary data</v>
      </c>
      <c r="I1026" s="7" t="str">
        <f>IFERROR(__xludf.DUMMYFUNCTION("""COMPUTED_VALUE"""),"No salary data")</f>
        <v>No salary data</v>
      </c>
      <c r="J1026" s="7" t="str">
        <f>IFERROR(__xludf.DUMMYFUNCTION("""COMPUTED_VALUE"""),"Python, Machine Learning, Git, Scrum")</f>
        <v>Python, Machine Learning, Git, Scrum</v>
      </c>
      <c r="K1026" s="7" t="str">
        <f>IFERROR(__xludf.DUMMYFUNCTION("""COMPUTED_VALUE"""),"Permanent")</f>
        <v>Permanent</v>
      </c>
      <c r="L1026" s="7" t="str">
        <f>IFERROR(__xludf.DUMMYFUNCTION("""COMPUTED_VALUE"""),"None")</f>
        <v>None</v>
      </c>
      <c r="M1026" s="7"/>
      <c r="N1026" s="7"/>
      <c r="O1026" s="7"/>
    </row>
    <row r="1027">
      <c r="A1027" s="29">
        <f>IFERROR(__xludf.DUMMYFUNCTION("""COMPUTED_VALUE"""),1023.0)</f>
        <v>1023</v>
      </c>
      <c r="B1027" s="7" t="str">
        <f>IFERROR(__xludf.DUMMYFUNCTION("""COMPUTED_VALUE"""),"vor 12 Tagen")</f>
        <v>vor 12 Tagen</v>
      </c>
      <c r="C1027" s="7" t="str">
        <f>IFERROR(__xludf.DUMMYFUNCTION("""COMPUTED_VALUE"""),"Scrum Master/Agile Coach (m/w/d) in Voll- oder Teilzeit")</f>
        <v>Scrum Master/Agile Coach (m/w/d) in Voll- oder Teilzeit</v>
      </c>
      <c r="D1027" s="7" t="str">
        <f>IFERROR(__xludf.DUMMYFUNCTION("""COMPUTED_VALUE"""),"Nürnberg")</f>
        <v>Nürnberg</v>
      </c>
      <c r="E1027" s="7" t="str">
        <f>IFERROR(__xludf.DUMMYFUNCTION("""COMPUTED_VALUE"""),"Immowelt AG")</f>
        <v>Immowelt AG</v>
      </c>
      <c r="F1027" s="7" t="str">
        <f>IFERROR(__xludf.DUMMYFUNCTION("""COMPUTED_VALUE"""),"None")</f>
        <v>None</v>
      </c>
      <c r="G1027" s="7" t="str">
        <f>IFERROR(__xludf.DUMMYFUNCTION("""COMPUTED_VALUE"""),"No salary data")</f>
        <v>No salary data</v>
      </c>
      <c r="H1027" s="7" t="str">
        <f>IFERROR(__xludf.DUMMYFUNCTION("""COMPUTED_VALUE"""),"No salary data")</f>
        <v>No salary data</v>
      </c>
      <c r="I1027" s="7" t="str">
        <f>IFERROR(__xludf.DUMMYFUNCTION("""COMPUTED_VALUE"""),"No salary data")</f>
        <v>No salary data</v>
      </c>
      <c r="J1027" s="7" t="str">
        <f>IFERROR(__xludf.DUMMYFUNCTION("""COMPUTED_VALUE"""),"Agile, Scrum")</f>
        <v>Agile, Scrum</v>
      </c>
      <c r="K1027" s="7" t="str">
        <f>IFERROR(__xludf.DUMMYFUNCTION("""COMPUTED_VALUE"""),"No job type data")</f>
        <v>No job type data</v>
      </c>
      <c r="L1027" s="7" t="str">
        <f>IFERROR(__xludf.DUMMYFUNCTION("""COMPUTED_VALUE"""),"3,5")</f>
        <v>3,5</v>
      </c>
      <c r="M1027" s="7"/>
      <c r="N1027" s="7"/>
      <c r="O1027" s="7"/>
    </row>
    <row r="1028">
      <c r="A1028" s="29">
        <f>IFERROR(__xludf.DUMMYFUNCTION("""COMPUTED_VALUE"""),1024.0)</f>
        <v>1024</v>
      </c>
      <c r="B1028" s="7" t="str">
        <f>IFERROR(__xludf.DUMMYFUNCTION("""COMPUTED_VALUE"""),"vor 12 Tagen")</f>
        <v>vor 12 Tagen</v>
      </c>
      <c r="C1028" s="7" t="str">
        <f>IFERROR(__xludf.DUMMYFUNCTION("""COMPUTED_VALUE"""),"Head of Master Data Management (m/w/d)")</f>
        <v>Head of Master Data Management (m/w/d)</v>
      </c>
      <c r="D1028" s="7" t="str">
        <f>IFERROR(__xludf.DUMMYFUNCTION("""COMPUTED_VALUE"""),"Wuppertal")</f>
        <v>Wuppertal</v>
      </c>
      <c r="E1028" s="7" t="str">
        <f>IFERROR(__xludf.DUMMYFUNCTION("""COMPUTED_VALUE"""),"BPW Aftermarket Group Deutschland GmbH")</f>
        <v>BPW Aftermarket Group Deutschland GmbH</v>
      </c>
      <c r="F1028" s="7" t="str">
        <f>IFERROR(__xludf.DUMMYFUNCTION("""COMPUTED_VALUE"""),"None")</f>
        <v>None</v>
      </c>
      <c r="G1028" s="7" t="str">
        <f>IFERROR(__xludf.DUMMYFUNCTION("""COMPUTED_VALUE"""),"No salary data")</f>
        <v>No salary data</v>
      </c>
      <c r="H1028" s="7" t="str">
        <f>IFERROR(__xludf.DUMMYFUNCTION("""COMPUTED_VALUE"""),"No salary data")</f>
        <v>No salary data</v>
      </c>
      <c r="I1028" s="7" t="str">
        <f>IFERROR(__xludf.DUMMYFUNCTION("""COMPUTED_VALUE"""),"No salary data")</f>
        <v>No salary data</v>
      </c>
      <c r="J1028" s="7"/>
      <c r="K1028" s="7" t="str">
        <f>IFERROR(__xludf.DUMMYFUNCTION("""COMPUTED_VALUE"""),"Permanent")</f>
        <v>Permanent</v>
      </c>
      <c r="L1028" s="7" t="str">
        <f>IFERROR(__xludf.DUMMYFUNCTION("""COMPUTED_VALUE"""),"None")</f>
        <v>None</v>
      </c>
      <c r="M1028" s="7"/>
      <c r="N1028" s="7"/>
      <c r="O1028" s="7"/>
    </row>
    <row r="1029">
      <c r="A1029" s="29">
        <f>IFERROR(__xludf.DUMMYFUNCTION("""COMPUTED_VALUE"""),1025.0)</f>
        <v>1025</v>
      </c>
      <c r="B1029" s="7" t="str">
        <f>IFERROR(__xludf.DUMMYFUNCTION("""COMPUTED_VALUE"""),"vor 2 Tagen")</f>
        <v>vor 2 Tagen</v>
      </c>
      <c r="C1029" s="7" t="str">
        <f>IFERROR(__xludf.DUMMYFUNCTION("""COMPUTED_VALUE"""),"Consultant Automatisierung (m/w/d)")</f>
        <v>Consultant Automatisierung (m/w/d)</v>
      </c>
      <c r="D1029" s="7" t="str">
        <f>IFERROR(__xludf.DUMMYFUNCTION("""COMPUTED_VALUE"""),"Ludwigshafen am Rhein")</f>
        <v>Ludwigshafen am Rhein</v>
      </c>
      <c r="E1029" s="7" t="str">
        <f>IFERROR(__xludf.DUMMYFUNCTION("""COMPUTED_VALUE"""),"Ing. Punzenberger COPA-DATA GmbH")</f>
        <v>Ing. Punzenberger COPA-DATA GmbH</v>
      </c>
      <c r="F1029" s="7" t="str">
        <f>IFERROR(__xludf.DUMMYFUNCTION("""COMPUTED_VALUE"""),"None")</f>
        <v>None</v>
      </c>
      <c r="G1029" s="7" t="str">
        <f>IFERROR(__xludf.DUMMYFUNCTION("""COMPUTED_VALUE"""),"No salary data")</f>
        <v>No salary data</v>
      </c>
      <c r="H1029" s="7" t="str">
        <f>IFERROR(__xludf.DUMMYFUNCTION("""COMPUTED_VALUE"""),"No salary data")</f>
        <v>No salary data</v>
      </c>
      <c r="I1029" s="7" t="str">
        <f>IFERROR(__xludf.DUMMYFUNCTION("""COMPUTED_VALUE"""),"No salary data")</f>
        <v>No salary data</v>
      </c>
      <c r="J1029" s="7"/>
      <c r="K1029" s="7" t="str">
        <f>IFERROR(__xludf.DUMMYFUNCTION("""COMPUTED_VALUE"""),"No job type data")</f>
        <v>No job type data</v>
      </c>
      <c r="L1029" s="7" t="str">
        <f>IFERROR(__xludf.DUMMYFUNCTION("""COMPUTED_VALUE"""),"None")</f>
        <v>None</v>
      </c>
      <c r="M1029" s="7"/>
      <c r="N1029" s="7"/>
      <c r="O1029" s="7"/>
    </row>
    <row r="1030">
      <c r="A1030" s="29">
        <f>IFERROR(__xludf.DUMMYFUNCTION("""COMPUTED_VALUE"""),1026.0)</f>
        <v>1026</v>
      </c>
      <c r="B1030" s="7" t="str">
        <f>IFERROR(__xludf.DUMMYFUNCTION("""COMPUTED_VALUE"""),"vor 12 Tagen")</f>
        <v>vor 12 Tagen</v>
      </c>
      <c r="C1030" s="7" t="str">
        <f>IFERROR(__xludf.DUMMYFUNCTION("""COMPUTED_VALUE"""),"Credit Analyst Structured Finance (m/f/d)")</f>
        <v>Credit Analyst Structured Finance (m/f/d)</v>
      </c>
      <c r="D1030" s="7" t="str">
        <f>IFERROR(__xludf.DUMMYFUNCTION("""COMPUTED_VALUE"""),"Neuss")</f>
        <v>Neuss</v>
      </c>
      <c r="E1030" s="7" t="str">
        <f>IFERROR(__xludf.DUMMYFUNCTION("""COMPUTED_VALUE"""),"Creditreform Rating AG")</f>
        <v>Creditreform Rating AG</v>
      </c>
      <c r="F1030" s="7" t="str">
        <f>IFERROR(__xludf.DUMMYFUNCTION("""COMPUTED_VALUE"""),"None")</f>
        <v>None</v>
      </c>
      <c r="G1030" s="7" t="str">
        <f>IFERROR(__xludf.DUMMYFUNCTION("""COMPUTED_VALUE"""),"No salary data")</f>
        <v>No salary data</v>
      </c>
      <c r="H1030" s="7" t="str">
        <f>IFERROR(__xludf.DUMMYFUNCTION("""COMPUTED_VALUE"""),"No salary data")</f>
        <v>No salary data</v>
      </c>
      <c r="I1030" s="7" t="str">
        <f>IFERROR(__xludf.DUMMYFUNCTION("""COMPUTED_VALUE"""),"No salary data")</f>
        <v>No salary data</v>
      </c>
      <c r="J1030" s="7" t="str">
        <f>IFERROR(__xludf.DUMMYFUNCTION("""COMPUTED_VALUE"""),"Excel, Statistic")</f>
        <v>Excel, Statistic</v>
      </c>
      <c r="K1030" s="7" t="str">
        <f>IFERROR(__xludf.DUMMYFUNCTION("""COMPUTED_VALUE"""),"No job type data")</f>
        <v>No job type data</v>
      </c>
      <c r="L1030" s="7" t="str">
        <f>IFERROR(__xludf.DUMMYFUNCTION("""COMPUTED_VALUE"""),"None")</f>
        <v>None</v>
      </c>
      <c r="M1030" s="7"/>
      <c r="N1030" s="7"/>
      <c r="O1030" s="7"/>
    </row>
    <row r="1031">
      <c r="A1031" s="29">
        <f>IFERROR(__xludf.DUMMYFUNCTION("""COMPUTED_VALUE"""),1027.0)</f>
        <v>1027</v>
      </c>
      <c r="B1031" s="7" t="str">
        <f>IFERROR(__xludf.DUMMYFUNCTION("""COMPUTED_VALUE"""),"vor 27 Tagen")</f>
        <v>vor 27 Tagen</v>
      </c>
      <c r="C1031" s="7" t="str">
        <f>IFERROR(__xludf.DUMMYFUNCTION("""COMPUTED_VALUE"""),"Lead Electrical Engineer - Data Center")</f>
        <v>Lead Electrical Engineer - Data Center</v>
      </c>
      <c r="D1031" s="7" t="str">
        <f>IFERROR(__xludf.DUMMYFUNCTION("""COMPUTED_VALUE"""),"Frankfurt am Main")</f>
        <v>Frankfurt am Main</v>
      </c>
      <c r="E1031" s="7" t="str">
        <f>IFERROR(__xludf.DUMMYFUNCTION("""COMPUTED_VALUE"""),"Ashbys Consulting")</f>
        <v>Ashbys Consulting</v>
      </c>
      <c r="F1031" s="7" t="str">
        <f>IFERROR(__xludf.DUMMYFUNCTION("""COMPUTED_VALUE"""),"90,000 € - 110,000 € pro Jahr")</f>
        <v>90,000 € - 110,000 € pro Jahr</v>
      </c>
      <c r="G1031" s="7">
        <f>IFERROR(__xludf.DUMMYFUNCTION("""COMPUTED_VALUE"""),100000.0)</f>
        <v>100000</v>
      </c>
      <c r="H1031" s="7" t="str">
        <f>IFERROR(__xludf.DUMMYFUNCTION("""COMPUTED_VALUE"""),"Jahr")</f>
        <v>Jahr</v>
      </c>
      <c r="I1031" s="7">
        <f>IFERROR(__xludf.DUMMYFUNCTION("""COMPUTED_VALUE"""),100000.0)</f>
        <v>100000</v>
      </c>
      <c r="J1031" s="7" t="str">
        <f>IFERROR(__xludf.DUMMYFUNCTION("""COMPUTED_VALUE"""),"Excel")</f>
        <v>Excel</v>
      </c>
      <c r="K1031" s="7" t="str">
        <f>IFERROR(__xludf.DUMMYFUNCTION("""COMPUTED_VALUE"""),"Contract")</f>
        <v>Contract</v>
      </c>
      <c r="L1031" s="7" t="str">
        <f>IFERROR(__xludf.DUMMYFUNCTION("""COMPUTED_VALUE"""),"None")</f>
        <v>None</v>
      </c>
      <c r="M1031" s="7"/>
      <c r="N1031" s="7"/>
      <c r="O1031" s="7"/>
    </row>
    <row r="1032">
      <c r="A1032" s="29">
        <f>IFERROR(__xludf.DUMMYFUNCTION("""COMPUTED_VALUE"""),1028.0)</f>
        <v>1028</v>
      </c>
      <c r="B1032" s="7" t="str">
        <f>IFERROR(__xludf.DUMMYFUNCTION("""COMPUTED_VALUE"""),"vor 17 Tagen")</f>
        <v>vor 17 Tagen</v>
      </c>
      <c r="C1032" s="7" t="str">
        <f>IFERROR(__xludf.DUMMYFUNCTION("""COMPUTED_VALUE"""),"Financial Data Analyst Data Quality Management (m/w/d)")</f>
        <v>Financial Data Analyst Data Quality Management (m/w/d)</v>
      </c>
      <c r="D1032" s="7" t="str">
        <f>IFERROR(__xludf.DUMMYFUNCTION("""COMPUTED_VALUE"""),"Frankfurt am Main")</f>
        <v>Frankfurt am Main</v>
      </c>
      <c r="E1032" s="7" t="str">
        <f>IFERROR(__xludf.DUMMYFUNCTION("""COMPUTED_VALUE"""),"Index Intelligence GmbH")</f>
        <v>Index Intelligence GmbH</v>
      </c>
      <c r="F1032" s="7" t="str">
        <f>IFERROR(__xludf.DUMMYFUNCTION("""COMPUTED_VALUE"""),"None")</f>
        <v>None</v>
      </c>
      <c r="G1032" s="7" t="str">
        <f>IFERROR(__xludf.DUMMYFUNCTION("""COMPUTED_VALUE"""),"No salary data")</f>
        <v>No salary data</v>
      </c>
      <c r="H1032" s="7" t="str">
        <f>IFERROR(__xludf.DUMMYFUNCTION("""COMPUTED_VALUE"""),"No salary data")</f>
        <v>No salary data</v>
      </c>
      <c r="I1032" s="7" t="str">
        <f>IFERROR(__xludf.DUMMYFUNCTION("""COMPUTED_VALUE"""),"No salary data")</f>
        <v>No salary data</v>
      </c>
      <c r="J1032" s="7" t="str">
        <f>IFERROR(__xludf.DUMMYFUNCTION("""COMPUTED_VALUE"""),"SQL, Excel")</f>
        <v>SQL, Excel</v>
      </c>
      <c r="K1032" s="7" t="str">
        <f>IFERROR(__xludf.DUMMYFUNCTION("""COMPUTED_VALUE"""),"No job type data")</f>
        <v>No job type data</v>
      </c>
      <c r="L1032" s="7" t="str">
        <f>IFERROR(__xludf.DUMMYFUNCTION("""COMPUTED_VALUE"""),"None")</f>
        <v>None</v>
      </c>
      <c r="M1032" s="7"/>
      <c r="N1032" s="7"/>
      <c r="O1032" s="7"/>
    </row>
    <row r="1033">
      <c r="A1033" s="29">
        <f>IFERROR(__xludf.DUMMYFUNCTION("""COMPUTED_VALUE"""),1029.0)</f>
        <v>1029</v>
      </c>
      <c r="B1033" s="7" t="str">
        <f>IFERROR(__xludf.DUMMYFUNCTION("""COMPUTED_VALUE"""),"vor 20 Tagen")</f>
        <v>vor 20 Tagen</v>
      </c>
      <c r="C1033" s="7" t="str">
        <f>IFERROR(__xludf.DUMMYFUNCTION("""COMPUTED_VALUE"""),"Marketing Science Partner DACH")</f>
        <v>Marketing Science Partner DACH</v>
      </c>
      <c r="D1033" s="7" t="str">
        <f>IFERROR(__xludf.DUMMYFUNCTION("""COMPUTED_VALUE"""),"Hamburg, Freie und Hansestadt")</f>
        <v>Hamburg, Freie und Hansestadt</v>
      </c>
      <c r="E1033" s="7" t="str">
        <f>IFERROR(__xludf.DUMMYFUNCTION("""COMPUTED_VALUE"""),"Facebook")</f>
        <v>Facebook</v>
      </c>
      <c r="F1033" s="7" t="str">
        <f>IFERROR(__xludf.DUMMYFUNCTION("""COMPUTED_VALUE"""),"None")</f>
        <v>None</v>
      </c>
      <c r="G1033" s="7" t="str">
        <f>IFERROR(__xludf.DUMMYFUNCTION("""COMPUTED_VALUE"""),"No salary data")</f>
        <v>No salary data</v>
      </c>
      <c r="H1033" s="7" t="str">
        <f>IFERROR(__xludf.DUMMYFUNCTION("""COMPUTED_VALUE"""),"No salary data")</f>
        <v>No salary data</v>
      </c>
      <c r="I1033" s="7" t="str">
        <f>IFERROR(__xludf.DUMMYFUNCTION("""COMPUTED_VALUE"""),"No salary data")</f>
        <v>No salary data</v>
      </c>
      <c r="J1033" s="7" t="str">
        <f>IFERROR(__xludf.DUMMYFUNCTION("""COMPUTED_VALUE"""),"SQL, Excel, Statistic, Git")</f>
        <v>SQL, Excel, Statistic, Git</v>
      </c>
      <c r="K1033" s="7" t="str">
        <f>IFERROR(__xludf.DUMMYFUNCTION("""COMPUTED_VALUE"""),"Full Time")</f>
        <v>Full Time</v>
      </c>
      <c r="L1033" s="7" t="str">
        <f>IFERROR(__xludf.DUMMYFUNCTION("""COMPUTED_VALUE"""),"4,2")</f>
        <v>4,2</v>
      </c>
      <c r="M1033" s="7"/>
      <c r="N1033" s="7"/>
      <c r="O1033" s="7"/>
    </row>
    <row r="1034">
      <c r="A1034" s="29">
        <f>IFERROR(__xludf.DUMMYFUNCTION("""COMPUTED_VALUE"""),1030.0)</f>
        <v>1030</v>
      </c>
      <c r="B1034" s="7" t="str">
        <f>IFERROR(__xludf.DUMMYFUNCTION("""COMPUTED_VALUE"""),"vor 3 Tagen")</f>
        <v>vor 3 Tagen</v>
      </c>
      <c r="C1034" s="7" t="str">
        <f>IFERROR(__xludf.DUMMYFUNCTION("""COMPUTED_VALUE"""),"Projektassistenz (m/w/d) Data Analystics/ Robotics")</f>
        <v>Projektassistenz (m/w/d) Data Analystics/ Robotics</v>
      </c>
      <c r="D1034" s="7" t="str">
        <f>IFERROR(__xludf.DUMMYFUNCTION("""COMPUTED_VALUE"""),"Frankfurt am Main")</f>
        <v>Frankfurt am Main</v>
      </c>
      <c r="E1034" s="7" t="str">
        <f>IFERROR(__xludf.DUMMYFUNCTION("""COMPUTED_VALUE"""),"univativ GmbH")</f>
        <v>univativ GmbH</v>
      </c>
      <c r="F1034" s="7" t="str">
        <f>IFERROR(__xludf.DUMMYFUNCTION("""COMPUTED_VALUE"""),"None")</f>
        <v>None</v>
      </c>
      <c r="G1034" s="7" t="str">
        <f>IFERROR(__xludf.DUMMYFUNCTION("""COMPUTED_VALUE"""),"No salary data")</f>
        <v>No salary data</v>
      </c>
      <c r="H1034" s="7" t="str">
        <f>IFERROR(__xludf.DUMMYFUNCTION("""COMPUTED_VALUE"""),"No salary data")</f>
        <v>No salary data</v>
      </c>
      <c r="I1034" s="7" t="str">
        <f>IFERROR(__xludf.DUMMYFUNCTION("""COMPUTED_VALUE"""),"No salary data")</f>
        <v>No salary data</v>
      </c>
      <c r="J1034" s="7"/>
      <c r="K1034" s="7" t="str">
        <f>IFERROR(__xludf.DUMMYFUNCTION("""COMPUTED_VALUE"""),"No job type data")</f>
        <v>No job type data</v>
      </c>
      <c r="L1034" s="7" t="str">
        <f>IFERROR(__xludf.DUMMYFUNCTION("""COMPUTED_VALUE"""),"4,4")</f>
        <v>4,4</v>
      </c>
      <c r="M1034" s="7"/>
      <c r="N1034" s="7"/>
      <c r="O1034" s="7"/>
    </row>
    <row r="1035">
      <c r="A1035" s="29">
        <f>IFERROR(__xludf.DUMMYFUNCTION("""COMPUTED_VALUE"""),1031.0)</f>
        <v>1031</v>
      </c>
      <c r="B1035" s="7" t="str">
        <f>IFERROR(__xludf.DUMMYFUNCTION("""COMPUTED_VALUE"""),"vor 22 Tagen")</f>
        <v>vor 22 Tagen</v>
      </c>
      <c r="C1035" s="7" t="str">
        <f>IFERROR(__xludf.DUMMYFUNCTION("""COMPUTED_VALUE"""),"Data Analyst (w/m/d) Produktmanagement und Vertriebssteuerun...")</f>
        <v>Data Analyst (w/m/d) Produktmanagement und Vertriebssteuerun...</v>
      </c>
      <c r="D1035" s="7" t="str">
        <f>IFERROR(__xludf.DUMMYFUNCTION("""COMPUTED_VALUE"""),"Potsdam")</f>
        <v>Potsdam</v>
      </c>
      <c r="E1035" s="7" t="str">
        <f>IFERROR(__xludf.DUMMYFUNCTION("""COMPUTED_VALUE"""),"Energie und Wasser GmbH")</f>
        <v>Energie und Wasser GmbH</v>
      </c>
      <c r="F1035" s="7" t="str">
        <f>IFERROR(__xludf.DUMMYFUNCTION("""COMPUTED_VALUE"""),"None")</f>
        <v>None</v>
      </c>
      <c r="G1035" s="7" t="str">
        <f>IFERROR(__xludf.DUMMYFUNCTION("""COMPUTED_VALUE"""),"No salary data")</f>
        <v>No salary data</v>
      </c>
      <c r="H1035" s="7" t="str">
        <f>IFERROR(__xludf.DUMMYFUNCTION("""COMPUTED_VALUE"""),"No salary data")</f>
        <v>No salary data</v>
      </c>
      <c r="I1035" s="7" t="str">
        <f>IFERROR(__xludf.DUMMYFUNCTION("""COMPUTED_VALUE"""),"No salary data")</f>
        <v>No salary data</v>
      </c>
      <c r="J1035" s="7" t="str">
        <f>IFERROR(__xludf.DUMMYFUNCTION("""COMPUTED_VALUE"""),"SQL")</f>
        <v>SQL</v>
      </c>
      <c r="K1035" s="7" t="str">
        <f>IFERROR(__xludf.DUMMYFUNCTION("""COMPUTED_VALUE"""),"No job type data")</f>
        <v>No job type data</v>
      </c>
      <c r="L1035" s="7" t="str">
        <f>IFERROR(__xludf.DUMMYFUNCTION("""COMPUTED_VALUE"""),"None")</f>
        <v>None</v>
      </c>
      <c r="M1035" s="7"/>
      <c r="N1035" s="7"/>
      <c r="O1035" s="7"/>
    </row>
    <row r="1036">
      <c r="A1036" s="29">
        <f>IFERROR(__xludf.DUMMYFUNCTION("""COMPUTED_VALUE"""),1032.0)</f>
        <v>1032</v>
      </c>
      <c r="B1036" s="7" t="str">
        <f>IFERROR(__xludf.DUMMYFUNCTION("""COMPUTED_VALUE"""),"vor 8 Tagen")</f>
        <v>vor 8 Tagen</v>
      </c>
      <c r="C1036" s="7" t="str">
        <f>IFERROR(__xludf.DUMMYFUNCTION("""COMPUTED_VALUE"""),"Fachinformiker Daten- und Prozessanalyse (m/w/d) – 2020")</f>
        <v>Fachinformiker Daten- und Prozessanalyse (m/w/d) – 2020</v>
      </c>
      <c r="D1036" s="7" t="str">
        <f>IFERROR(__xludf.DUMMYFUNCTION("""COMPUTED_VALUE"""),"Nürnberg")</f>
        <v>Nürnberg</v>
      </c>
      <c r="E1036" s="7" t="str">
        <f>IFERROR(__xludf.DUMMYFUNCTION("""COMPUTED_VALUE"""),"Immowelt AG")</f>
        <v>Immowelt AG</v>
      </c>
      <c r="F1036" s="7" t="str">
        <f>IFERROR(__xludf.DUMMYFUNCTION("""COMPUTED_VALUE"""),"None")</f>
        <v>None</v>
      </c>
      <c r="G1036" s="7" t="str">
        <f>IFERROR(__xludf.DUMMYFUNCTION("""COMPUTED_VALUE"""),"No salary data")</f>
        <v>No salary data</v>
      </c>
      <c r="H1036" s="7" t="str">
        <f>IFERROR(__xludf.DUMMYFUNCTION("""COMPUTED_VALUE"""),"No salary data")</f>
        <v>No salary data</v>
      </c>
      <c r="I1036" s="7" t="str">
        <f>IFERROR(__xludf.DUMMYFUNCTION("""COMPUTED_VALUE"""),"No salary data")</f>
        <v>No salary data</v>
      </c>
      <c r="J1036" s="7" t="str">
        <f>IFERROR(__xludf.DUMMYFUNCTION("""COMPUTED_VALUE"""),"SQL, Git")</f>
        <v>SQL, Git</v>
      </c>
      <c r="K1036" s="7" t="str">
        <f>IFERROR(__xludf.DUMMYFUNCTION("""COMPUTED_VALUE"""),"No job type data")</f>
        <v>No job type data</v>
      </c>
      <c r="L1036" s="7" t="str">
        <f>IFERROR(__xludf.DUMMYFUNCTION("""COMPUTED_VALUE"""),"3,5")</f>
        <v>3,5</v>
      </c>
      <c r="M1036" s="7"/>
      <c r="N1036" s="7"/>
      <c r="O1036" s="7"/>
    </row>
    <row r="1037">
      <c r="A1037" s="29">
        <f>IFERROR(__xludf.DUMMYFUNCTION("""COMPUTED_VALUE"""),1033.0)</f>
        <v>1033</v>
      </c>
      <c r="B1037" s="7" t="str">
        <f>IFERROR(__xludf.DUMMYFUNCTION("""COMPUTED_VALUE"""),"vor 5 Tagen")</f>
        <v>vor 5 Tagen</v>
      </c>
      <c r="C1037" s="7" t="str">
        <f>IFERROR(__xludf.DUMMYFUNCTION("""COMPUTED_VALUE"""),"Structured Finance Data Analyst (m/f/d) Native Level Speaker...")</f>
        <v>Structured Finance Data Analyst (m/f/d) Native Level Speaker...</v>
      </c>
      <c r="D1037" s="7" t="str">
        <f>IFERROR(__xludf.DUMMYFUNCTION("""COMPUTED_VALUE"""),"Frankfurt am Main")</f>
        <v>Frankfurt am Main</v>
      </c>
      <c r="E1037" s="7" t="str">
        <f>IFERROR(__xludf.DUMMYFUNCTION("""COMPUTED_VALUE"""),"European DataWarehouse GmbH")</f>
        <v>European DataWarehouse GmbH</v>
      </c>
      <c r="F1037" s="7" t="str">
        <f>IFERROR(__xludf.DUMMYFUNCTION("""COMPUTED_VALUE"""),"None")</f>
        <v>None</v>
      </c>
      <c r="G1037" s="7" t="str">
        <f>IFERROR(__xludf.DUMMYFUNCTION("""COMPUTED_VALUE"""),"No salary data")</f>
        <v>No salary data</v>
      </c>
      <c r="H1037" s="7" t="str">
        <f>IFERROR(__xludf.DUMMYFUNCTION("""COMPUTED_VALUE"""),"No salary data")</f>
        <v>No salary data</v>
      </c>
      <c r="I1037" s="7" t="str">
        <f>IFERROR(__xludf.DUMMYFUNCTION("""COMPUTED_VALUE"""),"No salary data")</f>
        <v>No salary data</v>
      </c>
      <c r="J1037" s="7" t="str">
        <f>IFERROR(__xludf.DUMMYFUNCTION("""COMPUTED_VALUE"""),"SQL, Statistic")</f>
        <v>SQL, Statistic</v>
      </c>
      <c r="K1037" s="7" t="str">
        <f>IFERROR(__xludf.DUMMYFUNCTION("""COMPUTED_VALUE"""),"Permanent")</f>
        <v>Permanent</v>
      </c>
      <c r="L1037" s="7" t="str">
        <f>IFERROR(__xludf.DUMMYFUNCTION("""COMPUTED_VALUE"""),"None")</f>
        <v>None</v>
      </c>
      <c r="M1037" s="7"/>
      <c r="N1037" s="7"/>
      <c r="O1037" s="7"/>
    </row>
    <row r="1038">
      <c r="A1038" s="29">
        <f>IFERROR(__xludf.DUMMYFUNCTION("""COMPUTED_VALUE"""),1034.0)</f>
        <v>1034</v>
      </c>
      <c r="B1038" s="7" t="str">
        <f>IFERROR(__xludf.DUMMYFUNCTION("""COMPUTED_VALUE"""),"vor 12 Tagen")</f>
        <v>vor 12 Tagen</v>
      </c>
      <c r="C1038" s="7" t="str">
        <f>IFERROR(__xludf.DUMMYFUNCTION("""COMPUTED_VALUE"""),"SQL-Entwickler/ -Programmierer/ -Developer (m/w/d)")</f>
        <v>SQL-Entwickler/ -Programmierer/ -Developer (m/w/d)</v>
      </c>
      <c r="D1038" s="7" t="str">
        <f>IFERROR(__xludf.DUMMYFUNCTION("""COMPUTED_VALUE"""),"Waldems")</f>
        <v>Waldems</v>
      </c>
      <c r="E1038" s="7" t="str">
        <f>IFERROR(__xludf.DUMMYFUNCTION("""COMPUTED_VALUE"""),"INSIGHT Health GmbH &amp; CO. KG")</f>
        <v>INSIGHT Health GmbH &amp; CO. KG</v>
      </c>
      <c r="F1038" s="7" t="str">
        <f>IFERROR(__xludf.DUMMYFUNCTION("""COMPUTED_VALUE"""),"None")</f>
        <v>None</v>
      </c>
      <c r="G1038" s="7" t="str">
        <f>IFERROR(__xludf.DUMMYFUNCTION("""COMPUTED_VALUE"""),"No salary data")</f>
        <v>No salary data</v>
      </c>
      <c r="H1038" s="7" t="str">
        <f>IFERROR(__xludf.DUMMYFUNCTION("""COMPUTED_VALUE"""),"No salary data")</f>
        <v>No salary data</v>
      </c>
      <c r="I1038" s="7" t="str">
        <f>IFERROR(__xludf.DUMMYFUNCTION("""COMPUTED_VALUE"""),"No salary data")</f>
        <v>No salary data</v>
      </c>
      <c r="J1038" s="7" t="str">
        <f>IFERROR(__xludf.DUMMYFUNCTION("""COMPUTED_VALUE"""),"SQL")</f>
        <v>SQL</v>
      </c>
      <c r="K1038" s="7" t="str">
        <f>IFERROR(__xludf.DUMMYFUNCTION("""COMPUTED_VALUE"""),"No job type data")</f>
        <v>No job type data</v>
      </c>
      <c r="L1038" s="7" t="str">
        <f>IFERROR(__xludf.DUMMYFUNCTION("""COMPUTED_VALUE"""),"None")</f>
        <v>None</v>
      </c>
      <c r="M1038" s="7"/>
      <c r="N1038" s="7"/>
      <c r="O1038" s="7"/>
    </row>
    <row r="1039">
      <c r="A1039" s="29">
        <f>IFERROR(__xludf.DUMMYFUNCTION("""COMPUTED_VALUE"""),1035.0)</f>
        <v>1035</v>
      </c>
      <c r="B1039" s="7" t="str">
        <f>IFERROR(__xludf.DUMMYFUNCTION("""COMPUTED_VALUE"""),"vor 18 Tagen")</f>
        <v>vor 18 Tagen</v>
      </c>
      <c r="C1039" s="7" t="str">
        <f>IFERROR(__xludf.DUMMYFUNCTION("""COMPUTED_VALUE"""),"Financial Data Analyst Data Quality Management (m/w/d)")</f>
        <v>Financial Data Analyst Data Quality Management (m/w/d)</v>
      </c>
      <c r="D1039" s="7" t="str">
        <f>IFERROR(__xludf.DUMMYFUNCTION("""COMPUTED_VALUE"""),"Dresden")</f>
        <v>Dresden</v>
      </c>
      <c r="E1039" s="7" t="str">
        <f>IFERROR(__xludf.DUMMYFUNCTION("""COMPUTED_VALUE"""),"Index Intelligence GmbH")</f>
        <v>Index Intelligence GmbH</v>
      </c>
      <c r="F1039" s="7" t="str">
        <f>IFERROR(__xludf.DUMMYFUNCTION("""COMPUTED_VALUE"""),"None")</f>
        <v>None</v>
      </c>
      <c r="G1039" s="7" t="str">
        <f>IFERROR(__xludf.DUMMYFUNCTION("""COMPUTED_VALUE"""),"No salary data")</f>
        <v>No salary data</v>
      </c>
      <c r="H1039" s="7" t="str">
        <f>IFERROR(__xludf.DUMMYFUNCTION("""COMPUTED_VALUE"""),"No salary data")</f>
        <v>No salary data</v>
      </c>
      <c r="I1039" s="7" t="str">
        <f>IFERROR(__xludf.DUMMYFUNCTION("""COMPUTED_VALUE"""),"No salary data")</f>
        <v>No salary data</v>
      </c>
      <c r="J1039" s="7" t="str">
        <f>IFERROR(__xludf.DUMMYFUNCTION("""COMPUTED_VALUE"""),"SQL, Excel")</f>
        <v>SQL, Excel</v>
      </c>
      <c r="K1039" s="7" t="str">
        <f>IFERROR(__xludf.DUMMYFUNCTION("""COMPUTED_VALUE"""),"No job type data")</f>
        <v>No job type data</v>
      </c>
      <c r="L1039" s="7" t="str">
        <f>IFERROR(__xludf.DUMMYFUNCTION("""COMPUTED_VALUE"""),"None")</f>
        <v>None</v>
      </c>
      <c r="M1039" s="7"/>
      <c r="N1039" s="7"/>
      <c r="O1039" s="7"/>
    </row>
    <row r="1040">
      <c r="A1040" s="29">
        <f>IFERROR(__xludf.DUMMYFUNCTION("""COMPUTED_VALUE"""),1036.0)</f>
        <v>1036</v>
      </c>
      <c r="B1040" s="7" t="str">
        <f>IFERROR(__xludf.DUMMYFUNCTION("""COMPUTED_VALUE"""),"Gerade geschaltet")</f>
        <v>Gerade geschaltet</v>
      </c>
      <c r="C1040" s="7" t="str">
        <f>IFERROR(__xludf.DUMMYFUNCTION("""COMPUTED_VALUE"""),"Quantitative Consultant")</f>
        <v>Quantitative Consultant</v>
      </c>
      <c r="D1040" s="7" t="str">
        <f>IFERROR(__xludf.DUMMYFUNCTION("""COMPUTED_VALUE"""),"Frankfurt am Main")</f>
        <v>Frankfurt am Main</v>
      </c>
      <c r="E1040" s="7" t="str">
        <f>IFERROR(__xludf.DUMMYFUNCTION("""COMPUTED_VALUE"""),"Albert Cliff")</f>
        <v>Albert Cliff</v>
      </c>
      <c r="F1040" s="7" t="str">
        <f>IFERROR(__xludf.DUMMYFUNCTION("""COMPUTED_VALUE"""),"60,000 € pro Jahr")</f>
        <v>60,000 € pro Jahr</v>
      </c>
      <c r="G1040" s="7">
        <f>IFERROR(__xludf.DUMMYFUNCTION("""COMPUTED_VALUE"""),60000.0)</f>
        <v>60000</v>
      </c>
      <c r="H1040" s="7" t="str">
        <f>IFERROR(__xludf.DUMMYFUNCTION("""COMPUTED_VALUE"""),"Jahr")</f>
        <v>Jahr</v>
      </c>
      <c r="I1040" s="7">
        <f>IFERROR(__xludf.DUMMYFUNCTION("""COMPUTED_VALUE"""),60000.0)</f>
        <v>60000</v>
      </c>
      <c r="J1040" s="7" t="str">
        <f>IFERROR(__xludf.DUMMYFUNCTION("""COMPUTED_VALUE"""),"Python")</f>
        <v>Python</v>
      </c>
      <c r="K1040" s="7" t="str">
        <f>IFERROR(__xludf.DUMMYFUNCTION("""COMPUTED_VALUE"""),"No job type data")</f>
        <v>No job type data</v>
      </c>
      <c r="L1040" s="7" t="str">
        <f>IFERROR(__xludf.DUMMYFUNCTION("""COMPUTED_VALUE"""),"None")</f>
        <v>None</v>
      </c>
      <c r="M1040" s="7"/>
      <c r="N1040" s="7"/>
      <c r="O1040" s="7"/>
    </row>
    <row r="1041">
      <c r="A1041" s="29">
        <f>IFERROR(__xludf.DUMMYFUNCTION("""COMPUTED_VALUE"""),1037.0)</f>
        <v>1037</v>
      </c>
      <c r="B1041" s="7" t="str">
        <f>IFERROR(__xludf.DUMMYFUNCTION("""COMPUTED_VALUE"""),"Vor mehr als 30 Tagen")</f>
        <v>Vor mehr als 30 Tagen</v>
      </c>
      <c r="C1041" s="7" t="str">
        <f>IFERROR(__xludf.DUMMYFUNCTION("""COMPUTED_VALUE"""),"Softwareentwickler Datawarehouse und Business Intelligence (...")</f>
        <v>Softwareentwickler Datawarehouse und Business Intelligence (...</v>
      </c>
      <c r="D1041" s="7" t="str">
        <f>IFERROR(__xludf.DUMMYFUNCTION("""COMPUTED_VALUE"""),"Münster")</f>
        <v>Münster</v>
      </c>
      <c r="E1041" s="7" t="str">
        <f>IFERROR(__xludf.DUMMYFUNCTION("""COMPUTED_VALUE"""),"LBS Westdeutsche Landesbausparkasse")</f>
        <v>LBS Westdeutsche Landesbausparkasse</v>
      </c>
      <c r="F1041" s="7" t="str">
        <f>IFERROR(__xludf.DUMMYFUNCTION("""COMPUTED_VALUE"""),"None")</f>
        <v>None</v>
      </c>
      <c r="G1041" s="7" t="str">
        <f>IFERROR(__xludf.DUMMYFUNCTION("""COMPUTED_VALUE"""),"No salary data")</f>
        <v>No salary data</v>
      </c>
      <c r="H1041" s="7" t="str">
        <f>IFERROR(__xludf.DUMMYFUNCTION("""COMPUTED_VALUE"""),"No salary data")</f>
        <v>No salary data</v>
      </c>
      <c r="I1041" s="7" t="str">
        <f>IFERROR(__xludf.DUMMYFUNCTION("""COMPUTED_VALUE"""),"No salary data")</f>
        <v>No salary data</v>
      </c>
      <c r="J1041" s="7" t="str">
        <f>IFERROR(__xludf.DUMMYFUNCTION("""COMPUTED_VALUE"""),"Git")</f>
        <v>Git</v>
      </c>
      <c r="K1041" s="7" t="str">
        <f>IFERROR(__xludf.DUMMYFUNCTION("""COMPUTED_VALUE"""),"No job type data")</f>
        <v>No job type data</v>
      </c>
      <c r="L1041" s="7" t="str">
        <f>IFERROR(__xludf.DUMMYFUNCTION("""COMPUTED_VALUE"""),"None")</f>
        <v>None</v>
      </c>
      <c r="M1041" s="7"/>
      <c r="N1041" s="7"/>
      <c r="O1041" s="7"/>
    </row>
    <row r="1042">
      <c r="A1042" s="29">
        <f>IFERROR(__xludf.DUMMYFUNCTION("""COMPUTED_VALUE"""),1038.0)</f>
        <v>1038</v>
      </c>
      <c r="B1042" s="7" t="str">
        <f>IFERROR(__xludf.DUMMYFUNCTION("""COMPUTED_VALUE"""),"vor 6 Tagen")</f>
        <v>vor 6 Tagen</v>
      </c>
      <c r="C1042" s="7" t="str">
        <f>IFERROR(__xludf.DUMMYFUNCTION("""COMPUTED_VALUE"""),"Data Analyst (m/w/d) Insurance Services")</f>
        <v>Data Analyst (m/w/d) Insurance Services</v>
      </c>
      <c r="D1042" s="7" t="str">
        <f>IFERROR(__xludf.DUMMYFUNCTION("""COMPUTED_VALUE"""),"Ismaning")</f>
        <v>Ismaning</v>
      </c>
      <c r="E1042" s="7" t="str">
        <f>IFERROR(__xludf.DUMMYFUNCTION("""COMPUTED_VALUE"""),"Aioi Nissay Dowa Insurance Company of Europe SE")</f>
        <v>Aioi Nissay Dowa Insurance Company of Europe SE</v>
      </c>
      <c r="F1042" s="7" t="str">
        <f>IFERROR(__xludf.DUMMYFUNCTION("""COMPUTED_VALUE"""),"None")</f>
        <v>None</v>
      </c>
      <c r="G1042" s="7" t="str">
        <f>IFERROR(__xludf.DUMMYFUNCTION("""COMPUTED_VALUE"""),"No salary data")</f>
        <v>No salary data</v>
      </c>
      <c r="H1042" s="7" t="str">
        <f>IFERROR(__xludf.DUMMYFUNCTION("""COMPUTED_VALUE"""),"No salary data")</f>
        <v>No salary data</v>
      </c>
      <c r="I1042" s="7" t="str">
        <f>IFERROR(__xludf.DUMMYFUNCTION("""COMPUTED_VALUE"""),"No salary data")</f>
        <v>No salary data</v>
      </c>
      <c r="J1042" s="7" t="str">
        <f>IFERROR(__xludf.DUMMYFUNCTION("""COMPUTED_VALUE"""),"Excel")</f>
        <v>Excel</v>
      </c>
      <c r="K1042" s="7" t="str">
        <f>IFERROR(__xludf.DUMMYFUNCTION("""COMPUTED_VALUE"""),"No job type data")</f>
        <v>No job type data</v>
      </c>
      <c r="L1042" s="7" t="str">
        <f>IFERROR(__xludf.DUMMYFUNCTION("""COMPUTED_VALUE"""),"None")</f>
        <v>None</v>
      </c>
      <c r="M1042" s="7"/>
      <c r="N1042" s="7"/>
      <c r="O1042" s="7"/>
    </row>
    <row r="1043">
      <c r="A1043" s="29">
        <f>IFERROR(__xludf.DUMMYFUNCTION("""COMPUTED_VALUE"""),1039.0)</f>
        <v>1039</v>
      </c>
      <c r="B1043" s="7" t="str">
        <f>IFERROR(__xludf.DUMMYFUNCTION("""COMPUTED_VALUE"""),"vor 2 Tagen")</f>
        <v>vor 2 Tagen</v>
      </c>
      <c r="C1043" s="7" t="str">
        <f>IFERROR(__xludf.DUMMYFUNCTION("""COMPUTED_VALUE"""),"Softwareentwickler - Developer (g*) Frontend bzw. Backend mi...")</f>
        <v>Softwareentwickler - Developer (g*) Frontend bzw. Backend mi...</v>
      </c>
      <c r="D1043" s="7" t="str">
        <f>IFERROR(__xludf.DUMMYFUNCTION("""COMPUTED_VALUE"""),"Düsseldorf")</f>
        <v>Düsseldorf</v>
      </c>
      <c r="E1043" s="7" t="str">
        <f>IFERROR(__xludf.DUMMYFUNCTION("""COMPUTED_VALUE"""),"Dirk Kremer Consulting")</f>
        <v>Dirk Kremer Consulting</v>
      </c>
      <c r="F1043" s="7" t="str">
        <f>IFERROR(__xludf.DUMMYFUNCTION("""COMPUTED_VALUE"""),"None")</f>
        <v>None</v>
      </c>
      <c r="G1043" s="7" t="str">
        <f>IFERROR(__xludf.DUMMYFUNCTION("""COMPUTED_VALUE"""),"No salary data")</f>
        <v>No salary data</v>
      </c>
      <c r="H1043" s="7" t="str">
        <f>IFERROR(__xludf.DUMMYFUNCTION("""COMPUTED_VALUE"""),"No salary data")</f>
        <v>No salary data</v>
      </c>
      <c r="I1043" s="7" t="str">
        <f>IFERROR(__xludf.DUMMYFUNCTION("""COMPUTED_VALUE"""),"No salary data")</f>
        <v>No salary data</v>
      </c>
      <c r="J1043" s="7" t="str">
        <f>IFERROR(__xludf.DUMMYFUNCTION("""COMPUTED_VALUE"""),"Python, SQL")</f>
        <v>Python, SQL</v>
      </c>
      <c r="K1043" s="7" t="str">
        <f>IFERROR(__xludf.DUMMYFUNCTION("""COMPUTED_VALUE"""),"No job type data")</f>
        <v>No job type data</v>
      </c>
      <c r="L1043" s="7" t="str">
        <f>IFERROR(__xludf.DUMMYFUNCTION("""COMPUTED_VALUE"""),"None")</f>
        <v>None</v>
      </c>
      <c r="M1043" s="7"/>
      <c r="N1043" s="7"/>
      <c r="O1043" s="7"/>
    </row>
    <row r="1044">
      <c r="A1044" s="29">
        <f>IFERROR(__xludf.DUMMYFUNCTION("""COMPUTED_VALUE"""),1040.0)</f>
        <v>1040</v>
      </c>
      <c r="B1044" s="7" t="str">
        <f>IFERROR(__xludf.DUMMYFUNCTION("""COMPUTED_VALUE"""),"vor 11 Tagen")</f>
        <v>vor 11 Tagen</v>
      </c>
      <c r="C1044" s="7" t="str">
        <f>IFERROR(__xludf.DUMMYFUNCTION("""COMPUTED_VALUE"""),"Wirtschaftsingenieur für Stammdatenmanagement (m/w/d) / Glob...")</f>
        <v>Wirtschaftsingenieur für Stammdatenmanagement (m/w/d) / Glob...</v>
      </c>
      <c r="D1044" s="7" t="str">
        <f>IFERROR(__xludf.DUMMYFUNCTION("""COMPUTED_VALUE"""),"Buseck")</f>
        <v>Buseck</v>
      </c>
      <c r="E1044" s="7" t="str">
        <f>IFERROR(__xludf.DUMMYFUNCTION("""COMPUTED_VALUE"""),"Alexander Binzel Schweisstechnik GmbH &amp; Co. KG")</f>
        <v>Alexander Binzel Schweisstechnik GmbH &amp; Co. KG</v>
      </c>
      <c r="F1044" s="7" t="str">
        <f>IFERROR(__xludf.DUMMYFUNCTION("""COMPUTED_VALUE"""),"None")</f>
        <v>None</v>
      </c>
      <c r="G1044" s="7" t="str">
        <f>IFERROR(__xludf.DUMMYFUNCTION("""COMPUTED_VALUE"""),"No salary data")</f>
        <v>No salary data</v>
      </c>
      <c r="H1044" s="7" t="str">
        <f>IFERROR(__xludf.DUMMYFUNCTION("""COMPUTED_VALUE"""),"No salary data")</f>
        <v>No salary data</v>
      </c>
      <c r="I1044" s="7" t="str">
        <f>IFERROR(__xludf.DUMMYFUNCTION("""COMPUTED_VALUE"""),"No salary data")</f>
        <v>No salary data</v>
      </c>
      <c r="J1044" s="7"/>
      <c r="K1044" s="7" t="str">
        <f>IFERROR(__xludf.DUMMYFUNCTION("""COMPUTED_VALUE"""),"No job type data")</f>
        <v>No job type data</v>
      </c>
      <c r="L1044" s="7" t="str">
        <f>IFERROR(__xludf.DUMMYFUNCTION("""COMPUTED_VALUE"""),"None")</f>
        <v>None</v>
      </c>
      <c r="M1044" s="7"/>
      <c r="N1044" s="7"/>
      <c r="O1044" s="7"/>
    </row>
    <row r="1045">
      <c r="A1045" s="29">
        <f>IFERROR(__xludf.DUMMYFUNCTION("""COMPUTED_VALUE"""),1041.0)</f>
        <v>1041</v>
      </c>
      <c r="B1045" s="7" t="str">
        <f>IFERROR(__xludf.DUMMYFUNCTION("""COMPUTED_VALUE"""),"vor 6 Tagen")</f>
        <v>vor 6 Tagen</v>
      </c>
      <c r="C1045" s="7" t="str">
        <f>IFERROR(__xludf.DUMMYFUNCTION("""COMPUTED_VALUE"""),"Data Analyst / Controller (m/w/d) - Teilzeit")</f>
        <v>Data Analyst / Controller (m/w/d) - Teilzeit</v>
      </c>
      <c r="D1045" s="7" t="str">
        <f>IFERROR(__xludf.DUMMYFUNCTION("""COMPUTED_VALUE"""),"Feldkirchen")</f>
        <v>Feldkirchen</v>
      </c>
      <c r="E1045" s="7" t="str">
        <f>IFERROR(__xludf.DUMMYFUNCTION("""COMPUTED_VALUE"""),"Nanotec Electronic GmbH und Co. KG")</f>
        <v>Nanotec Electronic GmbH und Co. KG</v>
      </c>
      <c r="F1045" s="7" t="str">
        <f>IFERROR(__xludf.DUMMYFUNCTION("""COMPUTED_VALUE"""),"None")</f>
        <v>None</v>
      </c>
      <c r="G1045" s="7" t="str">
        <f>IFERROR(__xludf.DUMMYFUNCTION("""COMPUTED_VALUE"""),"No salary data")</f>
        <v>No salary data</v>
      </c>
      <c r="H1045" s="7" t="str">
        <f>IFERROR(__xludf.DUMMYFUNCTION("""COMPUTED_VALUE"""),"No salary data")</f>
        <v>No salary data</v>
      </c>
      <c r="I1045" s="7" t="str">
        <f>IFERROR(__xludf.DUMMYFUNCTION("""COMPUTED_VALUE"""),"No salary data")</f>
        <v>No salary data</v>
      </c>
      <c r="J1045" s="7" t="str">
        <f>IFERROR(__xludf.DUMMYFUNCTION("""COMPUTED_VALUE"""),"SQL, Excel")</f>
        <v>SQL, Excel</v>
      </c>
      <c r="K1045" s="7" t="str">
        <f>IFERROR(__xludf.DUMMYFUNCTION("""COMPUTED_VALUE"""),"No job type data")</f>
        <v>No job type data</v>
      </c>
      <c r="L1045" s="7" t="str">
        <f>IFERROR(__xludf.DUMMYFUNCTION("""COMPUTED_VALUE"""),"None")</f>
        <v>None</v>
      </c>
      <c r="M1045" s="7"/>
      <c r="N1045" s="7"/>
      <c r="O1045" s="7"/>
    </row>
    <row r="1046">
      <c r="A1046" s="29">
        <f>IFERROR(__xludf.DUMMYFUNCTION("""COMPUTED_VALUE"""),1042.0)</f>
        <v>1042</v>
      </c>
      <c r="B1046" s="7" t="str">
        <f>IFERROR(__xludf.DUMMYFUNCTION("""COMPUTED_VALUE"""),"vor 6 Tagen")</f>
        <v>vor 6 Tagen</v>
      </c>
      <c r="C1046" s="7" t="str">
        <f>IFERROR(__xludf.DUMMYFUNCTION("""COMPUTED_VALUE"""),"Software-Entwickler (m/w/d) Backend Webservicetechnologien")</f>
        <v>Software-Entwickler (m/w/d) Backend Webservicetechnologien</v>
      </c>
      <c r="D1046" s="7" t="str">
        <f>IFERROR(__xludf.DUMMYFUNCTION("""COMPUTED_VALUE"""),"Ottweiler")</f>
        <v>Ottweiler</v>
      </c>
      <c r="E1046" s="7" t="str">
        <f>IFERROR(__xludf.DUMMYFUNCTION("""COMPUTED_VALUE"""),"OBG Gruppe GmbH")</f>
        <v>OBG Gruppe GmbH</v>
      </c>
      <c r="F1046" s="7" t="str">
        <f>IFERROR(__xludf.DUMMYFUNCTION("""COMPUTED_VALUE"""),"None")</f>
        <v>None</v>
      </c>
      <c r="G1046" s="7" t="str">
        <f>IFERROR(__xludf.DUMMYFUNCTION("""COMPUTED_VALUE"""),"No salary data")</f>
        <v>No salary data</v>
      </c>
      <c r="H1046" s="7" t="str">
        <f>IFERROR(__xludf.DUMMYFUNCTION("""COMPUTED_VALUE"""),"No salary data")</f>
        <v>No salary data</v>
      </c>
      <c r="I1046" s="7" t="str">
        <f>IFERROR(__xludf.DUMMYFUNCTION("""COMPUTED_VALUE"""),"No salary data")</f>
        <v>No salary data</v>
      </c>
      <c r="J1046" s="7" t="str">
        <f>IFERROR(__xludf.DUMMYFUNCTION("""COMPUTED_VALUE"""),"SQL, Git")</f>
        <v>SQL, Git</v>
      </c>
      <c r="K1046" s="7" t="str">
        <f>IFERROR(__xludf.DUMMYFUNCTION("""COMPUTED_VALUE"""),"No job type data")</f>
        <v>No job type data</v>
      </c>
      <c r="L1046" s="7" t="str">
        <f>IFERROR(__xludf.DUMMYFUNCTION("""COMPUTED_VALUE"""),"None")</f>
        <v>None</v>
      </c>
      <c r="M1046" s="7"/>
      <c r="N1046" s="7"/>
      <c r="O1046" s="7"/>
    </row>
    <row r="1047">
      <c r="A1047" s="29">
        <f>IFERROR(__xludf.DUMMYFUNCTION("""COMPUTED_VALUE"""),1043.0)</f>
        <v>1043</v>
      </c>
      <c r="B1047" s="7" t="str">
        <f>IFERROR(__xludf.DUMMYFUNCTION("""COMPUTED_VALUE"""),"vor 14 Tagen")</f>
        <v>vor 14 Tagen</v>
      </c>
      <c r="C1047" s="7" t="str">
        <f>IFERROR(__xludf.DUMMYFUNCTION("""COMPUTED_VALUE"""),"Marketing Data Analyst (m/w/d)")</f>
        <v>Marketing Data Analyst (m/w/d)</v>
      </c>
      <c r="D1047" s="7" t="str">
        <f>IFERROR(__xludf.DUMMYFUNCTION("""COMPUTED_VALUE"""),"Köln")</f>
        <v>Köln</v>
      </c>
      <c r="E1047" s="7" t="str">
        <f>IFERROR(__xludf.DUMMYFUNCTION("""COMPUTED_VALUE"""),"Lehmanns Media GmbH")</f>
        <v>Lehmanns Media GmbH</v>
      </c>
      <c r="F1047" s="7" t="str">
        <f>IFERROR(__xludf.DUMMYFUNCTION("""COMPUTED_VALUE"""),"None")</f>
        <v>None</v>
      </c>
      <c r="G1047" s="7" t="str">
        <f>IFERROR(__xludf.DUMMYFUNCTION("""COMPUTED_VALUE"""),"No salary data")</f>
        <v>No salary data</v>
      </c>
      <c r="H1047" s="7" t="str">
        <f>IFERROR(__xludf.DUMMYFUNCTION("""COMPUTED_VALUE"""),"No salary data")</f>
        <v>No salary data</v>
      </c>
      <c r="I1047" s="7" t="str">
        <f>IFERROR(__xludf.DUMMYFUNCTION("""COMPUTED_VALUE"""),"No salary data")</f>
        <v>No salary data</v>
      </c>
      <c r="J1047" s="7" t="str">
        <f>IFERROR(__xludf.DUMMYFUNCTION("""COMPUTED_VALUE"""),"Git")</f>
        <v>Git</v>
      </c>
      <c r="K1047" s="7" t="str">
        <f>IFERROR(__xludf.DUMMYFUNCTION("""COMPUTED_VALUE"""),"No job type data")</f>
        <v>No job type data</v>
      </c>
      <c r="L1047" s="7" t="str">
        <f>IFERROR(__xludf.DUMMYFUNCTION("""COMPUTED_VALUE"""),"None")</f>
        <v>None</v>
      </c>
      <c r="M1047" s="7"/>
      <c r="N1047" s="7"/>
      <c r="O1047" s="7"/>
    </row>
    <row r="1048">
      <c r="A1048" s="29">
        <f>IFERROR(__xludf.DUMMYFUNCTION("""COMPUTED_VALUE"""),1044.0)</f>
        <v>1044</v>
      </c>
      <c r="B1048" s="7" t="str">
        <f>IFERROR(__xludf.DUMMYFUNCTION("""COMPUTED_VALUE"""),"vor 7 Tagen")</f>
        <v>vor 7 Tagen</v>
      </c>
      <c r="C1048" s="7" t="str">
        <f>IFERROR(__xludf.DUMMYFUNCTION("""COMPUTED_VALUE"""),"Referent im Projekt ""Open Energy Meter Data"" (m/w/d)")</f>
        <v>Referent im Projekt "Open Energy Meter Data" (m/w/d)</v>
      </c>
      <c r="D1048" s="7" t="str">
        <f>IFERROR(__xludf.DUMMYFUNCTION("""COMPUTED_VALUE"""),"Kaiserslautern")</f>
        <v>Kaiserslautern</v>
      </c>
      <c r="E1048" s="7" t="str">
        <f>IFERROR(__xludf.DUMMYFUNCTION("""COMPUTED_VALUE"""),"Energieagentur Rheinland Pfalz GmbH")</f>
        <v>Energieagentur Rheinland Pfalz GmbH</v>
      </c>
      <c r="F1048" s="7" t="str">
        <f>IFERROR(__xludf.DUMMYFUNCTION("""COMPUTED_VALUE"""),"None")</f>
        <v>None</v>
      </c>
      <c r="G1048" s="7" t="str">
        <f>IFERROR(__xludf.DUMMYFUNCTION("""COMPUTED_VALUE"""),"No salary data")</f>
        <v>No salary data</v>
      </c>
      <c r="H1048" s="7" t="str">
        <f>IFERROR(__xludf.DUMMYFUNCTION("""COMPUTED_VALUE"""),"No salary data")</f>
        <v>No salary data</v>
      </c>
      <c r="I1048" s="7" t="str">
        <f>IFERROR(__xludf.DUMMYFUNCTION("""COMPUTED_VALUE"""),"No salary data")</f>
        <v>No salary data</v>
      </c>
      <c r="J1048" s="7" t="str">
        <f>IFERROR(__xludf.DUMMYFUNCTION("""COMPUTED_VALUE"""),"SQL, Excel")</f>
        <v>SQL, Excel</v>
      </c>
      <c r="K1048" s="7" t="str">
        <f>IFERROR(__xludf.DUMMYFUNCTION("""COMPUTED_VALUE"""),"No job type data")</f>
        <v>No job type data</v>
      </c>
      <c r="L1048" s="7" t="str">
        <f>IFERROR(__xludf.DUMMYFUNCTION("""COMPUTED_VALUE"""),"None")</f>
        <v>None</v>
      </c>
      <c r="M1048" s="7"/>
      <c r="N1048" s="7"/>
      <c r="O1048" s="7"/>
    </row>
    <row r="1049">
      <c r="A1049" s="29">
        <f>IFERROR(__xludf.DUMMYFUNCTION("""COMPUTED_VALUE"""),1045.0)</f>
        <v>1045</v>
      </c>
      <c r="B1049" s="7" t="str">
        <f>IFERROR(__xludf.DUMMYFUNCTION("""COMPUTED_VALUE"""),"vor 19 Tagen")</f>
        <v>vor 19 Tagen</v>
      </c>
      <c r="C1049" s="7" t="str">
        <f>IFERROR(__xludf.DUMMYFUNCTION("""COMPUTED_VALUE"""),"Data Scientist")</f>
        <v>Data Scientist</v>
      </c>
      <c r="D1049" s="7" t="str">
        <f>IFERROR(__xludf.DUMMYFUNCTION("""COMPUTED_VALUE"""),"Münster")</f>
        <v>Münster</v>
      </c>
      <c r="E1049" s="7" t="str">
        <f>IFERROR(__xludf.DUMMYFUNCTION("""COMPUTED_VALUE"""),"Brunel")</f>
        <v>Brunel</v>
      </c>
      <c r="F1049" s="7" t="str">
        <f>IFERROR(__xludf.DUMMYFUNCTION("""COMPUTED_VALUE"""),"None")</f>
        <v>None</v>
      </c>
      <c r="G1049" s="7" t="str">
        <f>IFERROR(__xludf.DUMMYFUNCTION("""COMPUTED_VALUE"""),"No salary data")</f>
        <v>No salary data</v>
      </c>
      <c r="H1049" s="7" t="str">
        <f>IFERROR(__xludf.DUMMYFUNCTION("""COMPUTED_VALUE"""),"No salary data")</f>
        <v>No salary data</v>
      </c>
      <c r="I1049" s="7" t="str">
        <f>IFERROR(__xludf.DUMMYFUNCTION("""COMPUTED_VALUE"""),"No salary data")</f>
        <v>No salary data</v>
      </c>
      <c r="J1049" s="7" t="str">
        <f>IFERROR(__xludf.DUMMYFUNCTION("""COMPUTED_VALUE"""),"Python, SQL")</f>
        <v>Python, SQL</v>
      </c>
      <c r="K1049" s="7" t="str">
        <f>IFERROR(__xludf.DUMMYFUNCTION("""COMPUTED_VALUE"""),"No job type data")</f>
        <v>No job type data</v>
      </c>
      <c r="L1049" s="7" t="str">
        <f>IFERROR(__xludf.DUMMYFUNCTION("""COMPUTED_VALUE"""),"3,9")</f>
        <v>3,9</v>
      </c>
      <c r="M1049" s="7"/>
      <c r="N1049" s="7"/>
      <c r="O1049" s="7"/>
    </row>
    <row r="1050">
      <c r="A1050" s="29">
        <f>IFERROR(__xludf.DUMMYFUNCTION("""COMPUTED_VALUE"""),1046.0)</f>
        <v>1046</v>
      </c>
      <c r="B1050" s="7" t="str">
        <f>IFERROR(__xludf.DUMMYFUNCTION("""COMPUTED_VALUE"""),"vor 23 Tagen")</f>
        <v>vor 23 Tagen</v>
      </c>
      <c r="C1050" s="7" t="str">
        <f>IFERROR(__xludf.DUMMYFUNCTION("""COMPUTED_VALUE"""),"Junior Prozessmanager / Business Analyst (m/w/d) Schwerpunkt...")</f>
        <v>Junior Prozessmanager / Business Analyst (m/w/d) Schwerpunkt...</v>
      </c>
      <c r="D1050" s="7" t="str">
        <f>IFERROR(__xludf.DUMMYFUNCTION("""COMPUTED_VALUE"""),"Pforzheim")</f>
        <v>Pforzheim</v>
      </c>
      <c r="E1050" s="7" t="str">
        <f>IFERROR(__xludf.DUMMYFUNCTION("""COMPUTED_VALUE"""),"BRUNO BADER GmbH + Co. KG")</f>
        <v>BRUNO BADER GmbH + Co. KG</v>
      </c>
      <c r="F1050" s="7" t="str">
        <f>IFERROR(__xludf.DUMMYFUNCTION("""COMPUTED_VALUE"""),"None")</f>
        <v>None</v>
      </c>
      <c r="G1050" s="7" t="str">
        <f>IFERROR(__xludf.DUMMYFUNCTION("""COMPUTED_VALUE"""),"No salary data")</f>
        <v>No salary data</v>
      </c>
      <c r="H1050" s="7" t="str">
        <f>IFERROR(__xludf.DUMMYFUNCTION("""COMPUTED_VALUE"""),"No salary data")</f>
        <v>No salary data</v>
      </c>
      <c r="I1050" s="7" t="str">
        <f>IFERROR(__xludf.DUMMYFUNCTION("""COMPUTED_VALUE"""),"No salary data")</f>
        <v>No salary data</v>
      </c>
      <c r="J1050" s="7" t="str">
        <f>IFERROR(__xludf.DUMMYFUNCTION("""COMPUTED_VALUE"""),"SQL, Excel")</f>
        <v>SQL, Excel</v>
      </c>
      <c r="K1050" s="7" t="str">
        <f>IFERROR(__xludf.DUMMYFUNCTION("""COMPUTED_VALUE"""),"No job type data")</f>
        <v>No job type data</v>
      </c>
      <c r="L1050" s="7" t="str">
        <f>IFERROR(__xludf.DUMMYFUNCTION("""COMPUTED_VALUE"""),"None")</f>
        <v>None</v>
      </c>
      <c r="M1050" s="7"/>
      <c r="N1050" s="7"/>
      <c r="O1050" s="7"/>
    </row>
    <row r="1051">
      <c r="A1051" s="29">
        <f>IFERROR(__xludf.DUMMYFUNCTION("""COMPUTED_VALUE"""),1047.0)</f>
        <v>1047</v>
      </c>
      <c r="B1051" s="7" t="str">
        <f>IFERROR(__xludf.DUMMYFUNCTION("""COMPUTED_VALUE"""),"vor 6 Tagen")</f>
        <v>vor 6 Tagen</v>
      </c>
      <c r="C1051" s="7" t="str">
        <f>IFERROR(__xludf.DUMMYFUNCTION("""COMPUTED_VALUE"""),"Data Analyst / Controller (m/w/d) - Teilzeit")</f>
        <v>Data Analyst / Controller (m/w/d) - Teilzeit</v>
      </c>
      <c r="D1051" s="7" t="str">
        <f>IFERROR(__xludf.DUMMYFUNCTION("""COMPUTED_VALUE"""),"Feldkirchen")</f>
        <v>Feldkirchen</v>
      </c>
      <c r="E1051" s="7" t="str">
        <f>IFERROR(__xludf.DUMMYFUNCTION("""COMPUTED_VALUE"""),"Nanotec Electronic GmbH und Co. KG")</f>
        <v>Nanotec Electronic GmbH und Co. KG</v>
      </c>
      <c r="F1051" s="7" t="str">
        <f>IFERROR(__xludf.DUMMYFUNCTION("""COMPUTED_VALUE"""),"None")</f>
        <v>None</v>
      </c>
      <c r="G1051" s="7" t="str">
        <f>IFERROR(__xludf.DUMMYFUNCTION("""COMPUTED_VALUE"""),"No salary data")</f>
        <v>No salary data</v>
      </c>
      <c r="H1051" s="7" t="str">
        <f>IFERROR(__xludf.DUMMYFUNCTION("""COMPUTED_VALUE"""),"No salary data")</f>
        <v>No salary data</v>
      </c>
      <c r="I1051" s="7" t="str">
        <f>IFERROR(__xludf.DUMMYFUNCTION("""COMPUTED_VALUE"""),"No salary data")</f>
        <v>No salary data</v>
      </c>
      <c r="J1051" s="7" t="str">
        <f>IFERROR(__xludf.DUMMYFUNCTION("""COMPUTED_VALUE"""),"SQL, Excel")</f>
        <v>SQL, Excel</v>
      </c>
      <c r="K1051" s="7" t="str">
        <f>IFERROR(__xludf.DUMMYFUNCTION("""COMPUTED_VALUE"""),"No job type data")</f>
        <v>No job type data</v>
      </c>
      <c r="L1051" s="7" t="str">
        <f>IFERROR(__xludf.DUMMYFUNCTION("""COMPUTED_VALUE"""),"None")</f>
        <v>None</v>
      </c>
      <c r="M1051" s="7"/>
      <c r="N1051" s="7"/>
      <c r="O1051" s="7"/>
    </row>
    <row r="1052">
      <c r="A1052" s="29">
        <f>IFERROR(__xludf.DUMMYFUNCTION("""COMPUTED_VALUE"""),1048.0)</f>
        <v>1048</v>
      </c>
      <c r="B1052" s="7" t="str">
        <f>IFERROR(__xludf.DUMMYFUNCTION("""COMPUTED_VALUE"""),"vor 11 Tagen")</f>
        <v>vor 11 Tagen</v>
      </c>
      <c r="C1052" s="7" t="str">
        <f>IFERROR(__xludf.DUMMYFUNCTION("""COMPUTED_VALUE"""),"Direktvermittlung: Data Engineer (m/w/d) im Versicherungsumf...")</f>
        <v>Direktvermittlung: Data Engineer (m/w/d) im Versicherungsumf...</v>
      </c>
      <c r="D1052" s="7" t="str">
        <f>IFERROR(__xludf.DUMMYFUNCTION("""COMPUTED_VALUE"""),"Hamburg")</f>
        <v>Hamburg</v>
      </c>
      <c r="E1052" s="7" t="str">
        <f>IFERROR(__xludf.DUMMYFUNCTION("""COMPUTED_VALUE"""),"univativ GmbH")</f>
        <v>univativ GmbH</v>
      </c>
      <c r="F1052" s="7" t="str">
        <f>IFERROR(__xludf.DUMMYFUNCTION("""COMPUTED_VALUE"""),"55,000 € - 65,000 € pro Jahr")</f>
        <v>55,000 € - 65,000 € pro Jahr</v>
      </c>
      <c r="G1052" s="7">
        <f>IFERROR(__xludf.DUMMYFUNCTION("""COMPUTED_VALUE"""),60000.0)</f>
        <v>60000</v>
      </c>
      <c r="H1052" s="7" t="str">
        <f>IFERROR(__xludf.DUMMYFUNCTION("""COMPUTED_VALUE"""),"Jahr")</f>
        <v>Jahr</v>
      </c>
      <c r="I1052" s="7">
        <f>IFERROR(__xludf.DUMMYFUNCTION("""COMPUTED_VALUE"""),60000.0)</f>
        <v>60000</v>
      </c>
      <c r="J1052" s="7" t="str">
        <f>IFERROR(__xludf.DUMMYFUNCTION("""COMPUTED_VALUE"""),"Python, SQL, Agile")</f>
        <v>Python, SQL, Agile</v>
      </c>
      <c r="K1052" s="7" t="str">
        <f>IFERROR(__xludf.DUMMYFUNCTION("""COMPUTED_VALUE"""),"No job type data")</f>
        <v>No job type data</v>
      </c>
      <c r="L1052" s="7" t="str">
        <f>IFERROR(__xludf.DUMMYFUNCTION("""COMPUTED_VALUE"""),"4,4")</f>
        <v>4,4</v>
      </c>
      <c r="M1052" s="7"/>
      <c r="N1052" s="7"/>
      <c r="O1052" s="7"/>
    </row>
    <row r="1053">
      <c r="A1053" s="29">
        <f>IFERROR(__xludf.DUMMYFUNCTION("""COMPUTED_VALUE"""),1049.0)</f>
        <v>1049</v>
      </c>
      <c r="B1053" s="7" t="str">
        <f>IFERROR(__xludf.DUMMYFUNCTION("""COMPUTED_VALUE"""),"Vor mehr als 30 Tagen")</f>
        <v>Vor mehr als 30 Tagen</v>
      </c>
      <c r="C1053" s="7" t="str">
        <f>IFERROR(__xludf.DUMMYFUNCTION("""COMPUTED_VALUE"""),"Financial Data Analyst Data Quality Management (m/w/d)")</f>
        <v>Financial Data Analyst Data Quality Management (m/w/d)</v>
      </c>
      <c r="D1053" s="7" t="str">
        <f>IFERROR(__xludf.DUMMYFUNCTION("""COMPUTED_VALUE"""),"Dresden")</f>
        <v>Dresden</v>
      </c>
      <c r="E1053" s="7" t="str">
        <f>IFERROR(__xludf.DUMMYFUNCTION("""COMPUTED_VALUE"""),"Index Intelligence GmbH")</f>
        <v>Index Intelligence GmbH</v>
      </c>
      <c r="F1053" s="7" t="str">
        <f>IFERROR(__xludf.DUMMYFUNCTION("""COMPUTED_VALUE"""),"None")</f>
        <v>None</v>
      </c>
      <c r="G1053" s="7" t="str">
        <f>IFERROR(__xludf.DUMMYFUNCTION("""COMPUTED_VALUE"""),"No salary data")</f>
        <v>No salary data</v>
      </c>
      <c r="H1053" s="7" t="str">
        <f>IFERROR(__xludf.DUMMYFUNCTION("""COMPUTED_VALUE"""),"No salary data")</f>
        <v>No salary data</v>
      </c>
      <c r="I1053" s="7" t="str">
        <f>IFERROR(__xludf.DUMMYFUNCTION("""COMPUTED_VALUE"""),"No salary data")</f>
        <v>No salary data</v>
      </c>
      <c r="J1053" s="7" t="str">
        <f>IFERROR(__xludf.DUMMYFUNCTION("""COMPUTED_VALUE"""),"SQL, Excel")</f>
        <v>SQL, Excel</v>
      </c>
      <c r="K1053" s="7" t="str">
        <f>IFERROR(__xludf.DUMMYFUNCTION("""COMPUTED_VALUE"""),"No job type data")</f>
        <v>No job type data</v>
      </c>
      <c r="L1053" s="7" t="str">
        <f>IFERROR(__xludf.DUMMYFUNCTION("""COMPUTED_VALUE"""),"None")</f>
        <v>None</v>
      </c>
      <c r="M1053" s="7"/>
      <c r="N1053" s="7"/>
      <c r="O1053" s="7"/>
    </row>
    <row r="1054">
      <c r="A1054" s="29">
        <f>IFERROR(__xludf.DUMMYFUNCTION("""COMPUTED_VALUE"""),1050.0)</f>
        <v>1050</v>
      </c>
      <c r="B1054" s="7" t="str">
        <f>IFERROR(__xludf.DUMMYFUNCTION("""COMPUTED_VALUE"""),"vor 14 Tagen")</f>
        <v>vor 14 Tagen</v>
      </c>
      <c r="C1054" s="7" t="str">
        <f>IFERROR(__xludf.DUMMYFUNCTION("""COMPUTED_VALUE"""),"Data Engineer (m/w/d)")</f>
        <v>Data Engineer (m/w/d)</v>
      </c>
      <c r="D1054" s="7" t="str">
        <f>IFERROR(__xludf.DUMMYFUNCTION("""COMPUTED_VALUE"""),"Pforzheim")</f>
        <v>Pforzheim</v>
      </c>
      <c r="E1054" s="7" t="str">
        <f>IFERROR(__xludf.DUMMYFUNCTION("""COMPUTED_VALUE"""),"BRUNO BADER GmbH + Co. KG")</f>
        <v>BRUNO BADER GmbH + Co. KG</v>
      </c>
      <c r="F1054" s="7" t="str">
        <f>IFERROR(__xludf.DUMMYFUNCTION("""COMPUTED_VALUE"""),"None")</f>
        <v>None</v>
      </c>
      <c r="G1054" s="7" t="str">
        <f>IFERROR(__xludf.DUMMYFUNCTION("""COMPUTED_VALUE"""),"No salary data")</f>
        <v>No salary data</v>
      </c>
      <c r="H1054" s="7" t="str">
        <f>IFERROR(__xludf.DUMMYFUNCTION("""COMPUTED_VALUE"""),"No salary data")</f>
        <v>No salary data</v>
      </c>
      <c r="I1054" s="7" t="str">
        <f>IFERROR(__xludf.DUMMYFUNCTION("""COMPUTED_VALUE"""),"No salary data")</f>
        <v>No salary data</v>
      </c>
      <c r="J1054" s="7" t="str">
        <f>IFERROR(__xludf.DUMMYFUNCTION("""COMPUTED_VALUE"""),"SQL")</f>
        <v>SQL</v>
      </c>
      <c r="K1054" s="7" t="str">
        <f>IFERROR(__xludf.DUMMYFUNCTION("""COMPUTED_VALUE"""),"No job type data")</f>
        <v>No job type data</v>
      </c>
      <c r="L1054" s="7" t="str">
        <f>IFERROR(__xludf.DUMMYFUNCTION("""COMPUTED_VALUE"""),"None")</f>
        <v>None</v>
      </c>
      <c r="M1054" s="7"/>
      <c r="N1054" s="7"/>
      <c r="O1054" s="7"/>
    </row>
    <row r="1055">
      <c r="A1055" s="29">
        <f>IFERROR(__xludf.DUMMYFUNCTION("""COMPUTED_VALUE"""),1051.0)</f>
        <v>1051</v>
      </c>
      <c r="B1055" s="7" t="str">
        <f>IFERROR(__xludf.DUMMYFUNCTION("""COMPUTED_VALUE"""),"vor 3 Tagen")</f>
        <v>vor 3 Tagen</v>
      </c>
      <c r="C1055" s="7" t="str">
        <f>IFERROR(__xludf.DUMMYFUNCTION("""COMPUTED_VALUE"""),"Data Scientists (m/w/d) für KI/ML - Videointerview möglich")</f>
        <v>Data Scientists (m/w/d) für KI/ML - Videointerview möglich</v>
      </c>
      <c r="D1055" s="7" t="str">
        <f>IFERROR(__xludf.DUMMYFUNCTION("""COMPUTED_VALUE"""),"München")</f>
        <v>München</v>
      </c>
      <c r="E1055" s="7" t="str">
        <f>IFERROR(__xludf.DUMMYFUNCTION("""COMPUTED_VALUE"""),"Fiducia &amp; GAD IT AG")</f>
        <v>Fiducia &amp; GAD IT AG</v>
      </c>
      <c r="F1055" s="7" t="str">
        <f>IFERROR(__xludf.DUMMYFUNCTION("""COMPUTED_VALUE"""),"None")</f>
        <v>None</v>
      </c>
      <c r="G1055" s="7" t="str">
        <f>IFERROR(__xludf.DUMMYFUNCTION("""COMPUTED_VALUE"""),"No salary data")</f>
        <v>No salary data</v>
      </c>
      <c r="H1055" s="7" t="str">
        <f>IFERROR(__xludf.DUMMYFUNCTION("""COMPUTED_VALUE"""),"No salary data")</f>
        <v>No salary data</v>
      </c>
      <c r="I1055" s="7" t="str">
        <f>IFERROR(__xludf.DUMMYFUNCTION("""COMPUTED_VALUE"""),"No salary data")</f>
        <v>No salary data</v>
      </c>
      <c r="J1055" s="7" t="str">
        <f>IFERROR(__xludf.DUMMYFUNCTION("""COMPUTED_VALUE"""),"Python, SQL, Machine Learning, Agile")</f>
        <v>Python, SQL, Machine Learning, Agile</v>
      </c>
      <c r="K1055" s="7" t="str">
        <f>IFERROR(__xludf.DUMMYFUNCTION("""COMPUTED_VALUE"""),"No job type data")</f>
        <v>No job type data</v>
      </c>
      <c r="L1055" s="7" t="str">
        <f>IFERROR(__xludf.DUMMYFUNCTION("""COMPUTED_VALUE"""),"None")</f>
        <v>None</v>
      </c>
      <c r="M1055" s="7"/>
      <c r="N1055" s="7"/>
      <c r="O1055" s="7"/>
    </row>
    <row r="1056">
      <c r="A1056" s="29">
        <f>IFERROR(__xludf.DUMMYFUNCTION("""COMPUTED_VALUE"""),1052.0)</f>
        <v>1052</v>
      </c>
      <c r="B1056" s="7" t="str">
        <f>IFERROR(__xludf.DUMMYFUNCTION("""COMPUTED_VALUE"""),"vor 6 Tagen")</f>
        <v>vor 6 Tagen</v>
      </c>
      <c r="C1056" s="7" t="str">
        <f>IFERROR(__xludf.DUMMYFUNCTION("""COMPUTED_VALUE"""),"Data Analyst (m/w/d) Insurance Services")</f>
        <v>Data Analyst (m/w/d) Insurance Services</v>
      </c>
      <c r="D1056" s="7" t="str">
        <f>IFERROR(__xludf.DUMMYFUNCTION("""COMPUTED_VALUE"""),"Ismaning")</f>
        <v>Ismaning</v>
      </c>
      <c r="E1056" s="7" t="str">
        <f>IFERROR(__xludf.DUMMYFUNCTION("""COMPUTED_VALUE"""),"Aioi Nissay Dowa Insurance Company of Europe SE")</f>
        <v>Aioi Nissay Dowa Insurance Company of Europe SE</v>
      </c>
      <c r="F1056" s="7" t="str">
        <f>IFERROR(__xludf.DUMMYFUNCTION("""COMPUTED_VALUE"""),"None")</f>
        <v>None</v>
      </c>
      <c r="G1056" s="7" t="str">
        <f>IFERROR(__xludf.DUMMYFUNCTION("""COMPUTED_VALUE"""),"No salary data")</f>
        <v>No salary data</v>
      </c>
      <c r="H1056" s="7" t="str">
        <f>IFERROR(__xludf.DUMMYFUNCTION("""COMPUTED_VALUE"""),"No salary data")</f>
        <v>No salary data</v>
      </c>
      <c r="I1056" s="7" t="str">
        <f>IFERROR(__xludf.DUMMYFUNCTION("""COMPUTED_VALUE"""),"No salary data")</f>
        <v>No salary data</v>
      </c>
      <c r="J1056" s="7" t="str">
        <f>IFERROR(__xludf.DUMMYFUNCTION("""COMPUTED_VALUE"""),"Excel")</f>
        <v>Excel</v>
      </c>
      <c r="K1056" s="7" t="str">
        <f>IFERROR(__xludf.DUMMYFUNCTION("""COMPUTED_VALUE"""),"No job type data")</f>
        <v>No job type data</v>
      </c>
      <c r="L1056" s="7" t="str">
        <f>IFERROR(__xludf.DUMMYFUNCTION("""COMPUTED_VALUE"""),"None")</f>
        <v>None</v>
      </c>
      <c r="M1056" s="7"/>
      <c r="N1056" s="7"/>
      <c r="O1056" s="7"/>
    </row>
    <row r="1057">
      <c r="A1057" s="29">
        <f>IFERROR(__xludf.DUMMYFUNCTION("""COMPUTED_VALUE"""),1053.0)</f>
        <v>1053</v>
      </c>
      <c r="B1057" s="7" t="str">
        <f>IFERROR(__xludf.DUMMYFUNCTION("""COMPUTED_VALUE"""),"vor 6 Tagen")</f>
        <v>vor 6 Tagen</v>
      </c>
      <c r="C1057" s="7" t="str">
        <f>IFERROR(__xludf.DUMMYFUNCTION("""COMPUTED_VALUE"""),"Business Analyst")</f>
        <v>Business Analyst</v>
      </c>
      <c r="D1057" s="7" t="str">
        <f>IFERROR(__xludf.DUMMYFUNCTION("""COMPUTED_VALUE"""),"München")</f>
        <v>München</v>
      </c>
      <c r="E1057" s="7" t="str">
        <f>IFERROR(__xludf.DUMMYFUNCTION("""COMPUTED_VALUE"""),"Devexperts")</f>
        <v>Devexperts</v>
      </c>
      <c r="F1057" s="7" t="str">
        <f>IFERROR(__xludf.DUMMYFUNCTION("""COMPUTED_VALUE"""),"None")</f>
        <v>None</v>
      </c>
      <c r="G1057" s="7" t="str">
        <f>IFERROR(__xludf.DUMMYFUNCTION("""COMPUTED_VALUE"""),"No salary data")</f>
        <v>No salary data</v>
      </c>
      <c r="H1057" s="7" t="str">
        <f>IFERROR(__xludf.DUMMYFUNCTION("""COMPUTED_VALUE"""),"No salary data")</f>
        <v>No salary data</v>
      </c>
      <c r="I1057" s="7" t="str">
        <f>IFERROR(__xludf.DUMMYFUNCTION("""COMPUTED_VALUE"""),"No salary data")</f>
        <v>No salary data</v>
      </c>
      <c r="J1057" s="7" t="str">
        <f>IFERROR(__xludf.DUMMYFUNCTION("""COMPUTED_VALUE"""),"SQL, Excel, Jira")</f>
        <v>SQL, Excel, Jira</v>
      </c>
      <c r="K1057" s="7" t="str">
        <f>IFERROR(__xludf.DUMMYFUNCTION("""COMPUTED_VALUE"""),"Permanent")</f>
        <v>Permanent</v>
      </c>
      <c r="L1057" s="7" t="str">
        <f>IFERROR(__xludf.DUMMYFUNCTION("""COMPUTED_VALUE"""),"None")</f>
        <v>None</v>
      </c>
      <c r="M1057" s="7"/>
      <c r="N1057" s="7"/>
      <c r="O1057" s="7"/>
    </row>
    <row r="1058">
      <c r="A1058" s="29">
        <f>IFERROR(__xludf.DUMMYFUNCTION("""COMPUTED_VALUE"""),1054.0)</f>
        <v>1054</v>
      </c>
      <c r="B1058" s="7" t="str">
        <f>IFERROR(__xludf.DUMMYFUNCTION("""COMPUTED_VALUE"""),"vor 14 Tagen")</f>
        <v>vor 14 Tagen</v>
      </c>
      <c r="C1058" s="7" t="str">
        <f>IFERROR(__xludf.DUMMYFUNCTION("""COMPUTED_VALUE"""),"Data Engineer (d/m/w)")</f>
        <v>Data Engineer (d/m/w)</v>
      </c>
      <c r="D1058" s="7" t="str">
        <f>IFERROR(__xludf.DUMMYFUNCTION("""COMPUTED_VALUE"""),"Nürnberg")</f>
        <v>Nürnberg</v>
      </c>
      <c r="E1058" s="7" t="str">
        <f>IFERROR(__xludf.DUMMYFUNCTION("""COMPUTED_VALUE"""),"NÜRNBERGER Versicherung")</f>
        <v>NÜRNBERGER Versicherung</v>
      </c>
      <c r="F1058" s="7" t="str">
        <f>IFERROR(__xludf.DUMMYFUNCTION("""COMPUTED_VALUE"""),"None")</f>
        <v>None</v>
      </c>
      <c r="G1058" s="7" t="str">
        <f>IFERROR(__xludf.DUMMYFUNCTION("""COMPUTED_VALUE"""),"No salary data")</f>
        <v>No salary data</v>
      </c>
      <c r="H1058" s="7" t="str">
        <f>IFERROR(__xludf.DUMMYFUNCTION("""COMPUTED_VALUE"""),"No salary data")</f>
        <v>No salary data</v>
      </c>
      <c r="I1058" s="7" t="str">
        <f>IFERROR(__xludf.DUMMYFUNCTION("""COMPUTED_VALUE"""),"No salary data")</f>
        <v>No salary data</v>
      </c>
      <c r="J1058" s="7" t="str">
        <f>IFERROR(__xludf.DUMMYFUNCTION("""COMPUTED_VALUE"""),"SQL, Machine Learning, Agile")</f>
        <v>SQL, Machine Learning, Agile</v>
      </c>
      <c r="K1058" s="7" t="str">
        <f>IFERROR(__xludf.DUMMYFUNCTION("""COMPUTED_VALUE"""),"No job type data")</f>
        <v>No job type data</v>
      </c>
      <c r="L1058" s="7" t="str">
        <f>IFERROR(__xludf.DUMMYFUNCTION("""COMPUTED_VALUE"""),"4,3")</f>
        <v>4,3</v>
      </c>
      <c r="M1058" s="7"/>
      <c r="N1058" s="7"/>
      <c r="O1058" s="7"/>
    </row>
    <row r="1059">
      <c r="A1059" s="29">
        <f>IFERROR(__xludf.DUMMYFUNCTION("""COMPUTED_VALUE"""),1055.0)</f>
        <v>1055</v>
      </c>
      <c r="B1059" s="7" t="str">
        <f>IFERROR(__xludf.DUMMYFUNCTION("""COMPUTED_VALUE"""),"vor 2 Tagen")</f>
        <v>vor 2 Tagen</v>
      </c>
      <c r="C1059" s="7" t="str">
        <f>IFERROR(__xludf.DUMMYFUNCTION("""COMPUTED_VALUE"""),"Software Engineer (m/w/d) Smart Data (KundenFokus) - Videoin...")</f>
        <v>Software Engineer (m/w/d) Smart Data (KundenFokus) - Videoin...</v>
      </c>
      <c r="D1059" s="7" t="str">
        <f>IFERROR(__xludf.DUMMYFUNCTION("""COMPUTED_VALUE"""),"Karlsruhe")</f>
        <v>Karlsruhe</v>
      </c>
      <c r="E1059" s="7" t="str">
        <f>IFERROR(__xludf.DUMMYFUNCTION("""COMPUTED_VALUE"""),"Fiducia &amp; GAD IT AG")</f>
        <v>Fiducia &amp; GAD IT AG</v>
      </c>
      <c r="F1059" s="7" t="str">
        <f>IFERROR(__xludf.DUMMYFUNCTION("""COMPUTED_VALUE"""),"None")</f>
        <v>None</v>
      </c>
      <c r="G1059" s="7" t="str">
        <f>IFERROR(__xludf.DUMMYFUNCTION("""COMPUTED_VALUE"""),"No salary data")</f>
        <v>No salary data</v>
      </c>
      <c r="H1059" s="7" t="str">
        <f>IFERROR(__xludf.DUMMYFUNCTION("""COMPUTED_VALUE"""),"No salary data")</f>
        <v>No salary data</v>
      </c>
      <c r="I1059" s="7" t="str">
        <f>IFERROR(__xludf.DUMMYFUNCTION("""COMPUTED_VALUE"""),"No salary data")</f>
        <v>No salary data</v>
      </c>
      <c r="J1059" s="7" t="str">
        <f>IFERROR(__xludf.DUMMYFUNCTION("""COMPUTED_VALUE"""),"Git, Agile")</f>
        <v>Git, Agile</v>
      </c>
      <c r="K1059" s="7" t="str">
        <f>IFERROR(__xludf.DUMMYFUNCTION("""COMPUTED_VALUE"""),"No job type data")</f>
        <v>No job type data</v>
      </c>
      <c r="L1059" s="7" t="str">
        <f>IFERROR(__xludf.DUMMYFUNCTION("""COMPUTED_VALUE"""),"None")</f>
        <v>None</v>
      </c>
      <c r="M1059" s="7"/>
      <c r="N1059" s="7"/>
      <c r="O1059" s="7"/>
    </row>
    <row r="1060">
      <c r="A1060" s="29">
        <f>IFERROR(__xludf.DUMMYFUNCTION("""COMPUTED_VALUE"""),1056.0)</f>
        <v>1056</v>
      </c>
      <c r="B1060" s="7" t="str">
        <f>IFERROR(__xludf.DUMMYFUNCTION("""COMPUTED_VALUE"""),"vor 15 Tagen")</f>
        <v>vor 15 Tagen</v>
      </c>
      <c r="C1060" s="7" t="str">
        <f>IFERROR(__xludf.DUMMYFUNCTION("""COMPUTED_VALUE"""),"Junior Software Engineer (m/w/d)")</f>
        <v>Junior Software Engineer (m/w/d)</v>
      </c>
      <c r="D1060" s="7" t="str">
        <f>IFERROR(__xludf.DUMMYFUNCTION("""COMPUTED_VALUE"""),"München")</f>
        <v>München</v>
      </c>
      <c r="E1060" s="7" t="str">
        <f>IFERROR(__xludf.DUMMYFUNCTION("""COMPUTED_VALUE"""),"DEVnet GmbH")</f>
        <v>DEVnet GmbH</v>
      </c>
      <c r="F1060" s="7" t="str">
        <f>IFERROR(__xludf.DUMMYFUNCTION("""COMPUTED_VALUE"""),"None")</f>
        <v>None</v>
      </c>
      <c r="G1060" s="7" t="str">
        <f>IFERROR(__xludf.DUMMYFUNCTION("""COMPUTED_VALUE"""),"No salary data")</f>
        <v>No salary data</v>
      </c>
      <c r="H1060" s="7" t="str">
        <f>IFERROR(__xludf.DUMMYFUNCTION("""COMPUTED_VALUE"""),"No salary data")</f>
        <v>No salary data</v>
      </c>
      <c r="I1060" s="7" t="str">
        <f>IFERROR(__xludf.DUMMYFUNCTION("""COMPUTED_VALUE"""),"No salary data")</f>
        <v>No salary data</v>
      </c>
      <c r="J1060" s="7" t="str">
        <f>IFERROR(__xludf.DUMMYFUNCTION("""COMPUTED_VALUE"""),"Git")</f>
        <v>Git</v>
      </c>
      <c r="K1060" s="7" t="str">
        <f>IFERROR(__xludf.DUMMYFUNCTION("""COMPUTED_VALUE"""),"No job type data")</f>
        <v>No job type data</v>
      </c>
      <c r="L1060" s="7" t="str">
        <f>IFERROR(__xludf.DUMMYFUNCTION("""COMPUTED_VALUE"""),"None")</f>
        <v>None</v>
      </c>
      <c r="M1060" s="7"/>
      <c r="N1060" s="7"/>
      <c r="O1060" s="7"/>
    </row>
    <row r="1061">
      <c r="A1061" s="29">
        <f>IFERROR(__xludf.DUMMYFUNCTION("""COMPUTED_VALUE"""),1057.0)</f>
        <v>1057</v>
      </c>
      <c r="B1061" s="7" t="str">
        <f>IFERROR(__xludf.DUMMYFUNCTION("""COMPUTED_VALUE"""),"Heute")</f>
        <v>Heute</v>
      </c>
      <c r="C1061" s="7" t="str">
        <f>IFERROR(__xludf.DUMMYFUNCTION("""COMPUTED_VALUE"""),"Ausbildung zum Fachinformatiker Anwendungsentwicklung (m/w/d...")</f>
        <v>Ausbildung zum Fachinformatiker Anwendungsentwicklung (m/w/d...</v>
      </c>
      <c r="D1061" s="7" t="str">
        <f>IFERROR(__xludf.DUMMYFUNCTION("""COMPUTED_VALUE"""),"Essen")</f>
        <v>Essen</v>
      </c>
      <c r="E1061" s="7" t="str">
        <f>IFERROR(__xludf.DUMMYFUNCTION("""COMPUTED_VALUE"""),"stable data GmbH")</f>
        <v>stable data GmbH</v>
      </c>
      <c r="F1061" s="7" t="str">
        <f>IFERROR(__xludf.DUMMYFUNCTION("""COMPUTED_VALUE"""),"None")</f>
        <v>None</v>
      </c>
      <c r="G1061" s="7" t="str">
        <f>IFERROR(__xludf.DUMMYFUNCTION("""COMPUTED_VALUE"""),"No salary data")</f>
        <v>No salary data</v>
      </c>
      <c r="H1061" s="7" t="str">
        <f>IFERROR(__xludf.DUMMYFUNCTION("""COMPUTED_VALUE"""),"No salary data")</f>
        <v>No salary data</v>
      </c>
      <c r="I1061" s="7" t="str">
        <f>IFERROR(__xludf.DUMMYFUNCTION("""COMPUTED_VALUE"""),"No salary data")</f>
        <v>No salary data</v>
      </c>
      <c r="J1061" s="7" t="str">
        <f>IFERROR(__xludf.DUMMYFUNCTION("""COMPUTED_VALUE"""),"Agile")</f>
        <v>Agile</v>
      </c>
      <c r="K1061" s="7" t="str">
        <f>IFERROR(__xludf.DUMMYFUNCTION("""COMPUTED_VALUE"""),"No job type data")</f>
        <v>No job type data</v>
      </c>
      <c r="L1061" s="7" t="str">
        <f>IFERROR(__xludf.DUMMYFUNCTION("""COMPUTED_VALUE"""),"None")</f>
        <v>None</v>
      </c>
      <c r="M1061" s="7"/>
      <c r="N1061" s="7"/>
      <c r="O1061" s="7"/>
    </row>
    <row r="1062">
      <c r="A1062" s="29">
        <f>IFERROR(__xludf.DUMMYFUNCTION("""COMPUTED_VALUE"""),1058.0)</f>
        <v>1058</v>
      </c>
      <c r="B1062" s="7" t="str">
        <f>IFERROR(__xludf.DUMMYFUNCTION("""COMPUTED_VALUE"""),"vor 10 Tagen")</f>
        <v>vor 10 Tagen</v>
      </c>
      <c r="C1062" s="7" t="str">
        <f>IFERROR(__xludf.DUMMYFUNCTION("""COMPUTED_VALUE"""),"(Junior) Data Manager Subnational Insights &amp; Analytics (m/w/...")</f>
        <v>(Junior) Data Manager Subnational Insights &amp; Analytics (m/w/...</v>
      </c>
      <c r="D1062" s="7" t="str">
        <f>IFERROR(__xludf.DUMMYFUNCTION("""COMPUTED_VALUE"""),"Waldems")</f>
        <v>Waldems</v>
      </c>
      <c r="E1062" s="7" t="str">
        <f>IFERROR(__xludf.DUMMYFUNCTION("""COMPUTED_VALUE"""),"INSIGHT Health GmbH &amp; Co. KG")</f>
        <v>INSIGHT Health GmbH &amp; Co. KG</v>
      </c>
      <c r="F1062" s="7" t="str">
        <f>IFERROR(__xludf.DUMMYFUNCTION("""COMPUTED_VALUE"""),"None")</f>
        <v>None</v>
      </c>
      <c r="G1062" s="7" t="str">
        <f>IFERROR(__xludf.DUMMYFUNCTION("""COMPUTED_VALUE"""),"No salary data")</f>
        <v>No salary data</v>
      </c>
      <c r="H1062" s="7" t="str">
        <f>IFERROR(__xludf.DUMMYFUNCTION("""COMPUTED_VALUE"""),"No salary data")</f>
        <v>No salary data</v>
      </c>
      <c r="I1062" s="7" t="str">
        <f>IFERROR(__xludf.DUMMYFUNCTION("""COMPUTED_VALUE"""),"No salary data")</f>
        <v>No salary data</v>
      </c>
      <c r="J1062" s="7" t="str">
        <f>IFERROR(__xludf.DUMMYFUNCTION("""COMPUTED_VALUE"""),"Excel")</f>
        <v>Excel</v>
      </c>
      <c r="K1062" s="7" t="str">
        <f>IFERROR(__xludf.DUMMYFUNCTION("""COMPUTED_VALUE"""),"No job type data")</f>
        <v>No job type data</v>
      </c>
      <c r="L1062" s="7" t="str">
        <f>IFERROR(__xludf.DUMMYFUNCTION("""COMPUTED_VALUE"""),"None")</f>
        <v>None</v>
      </c>
      <c r="M1062" s="7"/>
      <c r="N1062" s="7"/>
      <c r="O1062" s="7"/>
    </row>
    <row r="1063">
      <c r="A1063" s="29">
        <f>IFERROR(__xludf.DUMMYFUNCTION("""COMPUTED_VALUE"""),1059.0)</f>
        <v>1059</v>
      </c>
      <c r="B1063" s="7" t="str">
        <f>IFERROR(__xludf.DUMMYFUNCTION("""COMPUTED_VALUE"""),"vor 2 Tagen")</f>
        <v>vor 2 Tagen</v>
      </c>
      <c r="C1063" s="7" t="str">
        <f>IFERROR(__xludf.DUMMYFUNCTION("""COMPUTED_VALUE"""),"Consultant Automatisierung (m/w/d)")</f>
        <v>Consultant Automatisierung (m/w/d)</v>
      </c>
      <c r="D1063" s="7" t="str">
        <f>IFERROR(__xludf.DUMMYFUNCTION("""COMPUTED_VALUE"""),"Ottobrunn")</f>
        <v>Ottobrunn</v>
      </c>
      <c r="E1063" s="7" t="str">
        <f>IFERROR(__xludf.DUMMYFUNCTION("""COMPUTED_VALUE"""),"Ing. Punzenberger COPA-DATA GmbH")</f>
        <v>Ing. Punzenberger COPA-DATA GmbH</v>
      </c>
      <c r="F1063" s="7" t="str">
        <f>IFERROR(__xludf.DUMMYFUNCTION("""COMPUTED_VALUE"""),"None")</f>
        <v>None</v>
      </c>
      <c r="G1063" s="7" t="str">
        <f>IFERROR(__xludf.DUMMYFUNCTION("""COMPUTED_VALUE"""),"No salary data")</f>
        <v>No salary data</v>
      </c>
      <c r="H1063" s="7" t="str">
        <f>IFERROR(__xludf.DUMMYFUNCTION("""COMPUTED_VALUE"""),"No salary data")</f>
        <v>No salary data</v>
      </c>
      <c r="I1063" s="7" t="str">
        <f>IFERROR(__xludf.DUMMYFUNCTION("""COMPUTED_VALUE"""),"No salary data")</f>
        <v>No salary data</v>
      </c>
      <c r="J1063" s="7"/>
      <c r="K1063" s="7" t="str">
        <f>IFERROR(__xludf.DUMMYFUNCTION("""COMPUTED_VALUE"""),"No job type data")</f>
        <v>No job type data</v>
      </c>
      <c r="L1063" s="7" t="str">
        <f>IFERROR(__xludf.DUMMYFUNCTION("""COMPUTED_VALUE"""),"None")</f>
        <v>None</v>
      </c>
      <c r="M1063" s="7"/>
      <c r="N1063" s="7"/>
      <c r="O1063" s="7"/>
    </row>
    <row r="1064">
      <c r="A1064" s="29">
        <f>IFERROR(__xludf.DUMMYFUNCTION("""COMPUTED_VALUE"""),1060.0)</f>
        <v>1060</v>
      </c>
      <c r="B1064" s="7" t="str">
        <f>IFERROR(__xludf.DUMMYFUNCTION("""COMPUTED_VALUE"""),"vor 18 Tagen")</f>
        <v>vor 18 Tagen</v>
      </c>
      <c r="C1064" s="7" t="str">
        <f>IFERROR(__xludf.DUMMYFUNCTION("""COMPUTED_VALUE"""),"Financial Data Analyst Data Quality Management (m/w/d)")</f>
        <v>Financial Data Analyst Data Quality Management (m/w/d)</v>
      </c>
      <c r="D1064" s="7" t="str">
        <f>IFERROR(__xludf.DUMMYFUNCTION("""COMPUTED_VALUE"""),"Frankfurt am Main")</f>
        <v>Frankfurt am Main</v>
      </c>
      <c r="E1064" s="7" t="str">
        <f>IFERROR(__xludf.DUMMYFUNCTION("""COMPUTED_VALUE"""),"Index Intelligence GmbH")</f>
        <v>Index Intelligence GmbH</v>
      </c>
      <c r="F1064" s="7" t="str">
        <f>IFERROR(__xludf.DUMMYFUNCTION("""COMPUTED_VALUE"""),"None")</f>
        <v>None</v>
      </c>
      <c r="G1064" s="7" t="str">
        <f>IFERROR(__xludf.DUMMYFUNCTION("""COMPUTED_VALUE"""),"No salary data")</f>
        <v>No salary data</v>
      </c>
      <c r="H1064" s="7" t="str">
        <f>IFERROR(__xludf.DUMMYFUNCTION("""COMPUTED_VALUE"""),"No salary data")</f>
        <v>No salary data</v>
      </c>
      <c r="I1064" s="7" t="str">
        <f>IFERROR(__xludf.DUMMYFUNCTION("""COMPUTED_VALUE"""),"No salary data")</f>
        <v>No salary data</v>
      </c>
      <c r="J1064" s="7" t="str">
        <f>IFERROR(__xludf.DUMMYFUNCTION("""COMPUTED_VALUE"""),"SQL, Excel")</f>
        <v>SQL, Excel</v>
      </c>
      <c r="K1064" s="7" t="str">
        <f>IFERROR(__xludf.DUMMYFUNCTION("""COMPUTED_VALUE"""),"No job type data")</f>
        <v>No job type data</v>
      </c>
      <c r="L1064" s="7" t="str">
        <f>IFERROR(__xludf.DUMMYFUNCTION("""COMPUTED_VALUE"""),"None")</f>
        <v>None</v>
      </c>
      <c r="M1064" s="7"/>
      <c r="N1064" s="7"/>
      <c r="O1064" s="7"/>
    </row>
    <row r="1065">
      <c r="A1065" s="29">
        <f>IFERROR(__xludf.DUMMYFUNCTION("""COMPUTED_VALUE"""),1061.0)</f>
        <v>1061</v>
      </c>
      <c r="B1065" s="7" t="str">
        <f>IFERROR(__xludf.DUMMYFUNCTION("""COMPUTED_VALUE"""),"vor 1 Tag")</f>
        <v>vor 1 Tag</v>
      </c>
      <c r="C1065" s="7" t="str">
        <f>IFERROR(__xludf.DUMMYFUNCTION("""COMPUTED_VALUE"""),"Data Scientist (m/w/d)")</f>
        <v>Data Scientist (m/w/d)</v>
      </c>
      <c r="D1065" s="7" t="str">
        <f>IFERROR(__xludf.DUMMYFUNCTION("""COMPUTED_VALUE"""),"Gerlingen")</f>
        <v>Gerlingen</v>
      </c>
      <c r="E1065" s="7" t="str">
        <f>IFERROR(__xludf.DUMMYFUNCTION("""COMPUTED_VALUE"""),"Smart Digital GmbH")</f>
        <v>Smart Digital GmbH</v>
      </c>
      <c r="F1065" s="7" t="str">
        <f>IFERROR(__xludf.DUMMYFUNCTION("""COMPUTED_VALUE"""),"None")</f>
        <v>None</v>
      </c>
      <c r="G1065" s="7" t="str">
        <f>IFERROR(__xludf.DUMMYFUNCTION("""COMPUTED_VALUE"""),"No salary data")</f>
        <v>No salary data</v>
      </c>
      <c r="H1065" s="7" t="str">
        <f>IFERROR(__xludf.DUMMYFUNCTION("""COMPUTED_VALUE"""),"No salary data")</f>
        <v>No salary data</v>
      </c>
      <c r="I1065" s="7" t="str">
        <f>IFERROR(__xludf.DUMMYFUNCTION("""COMPUTED_VALUE"""),"No salary data")</f>
        <v>No salary data</v>
      </c>
      <c r="J1065" s="7" t="str">
        <f>IFERROR(__xludf.DUMMYFUNCTION("""COMPUTED_VALUE"""),"Python, Machine Learning, Git")</f>
        <v>Python, Machine Learning, Git</v>
      </c>
      <c r="K1065" s="7" t="str">
        <f>IFERROR(__xludf.DUMMYFUNCTION("""COMPUTED_VALUE"""),"Permanent")</f>
        <v>Permanent</v>
      </c>
      <c r="L1065" s="7" t="str">
        <f>IFERROR(__xludf.DUMMYFUNCTION("""COMPUTED_VALUE"""),"None")</f>
        <v>None</v>
      </c>
      <c r="M1065" s="7"/>
      <c r="N1065" s="7"/>
      <c r="O1065" s="7"/>
    </row>
    <row r="1066">
      <c r="A1066" s="29">
        <f>IFERROR(__xludf.DUMMYFUNCTION("""COMPUTED_VALUE"""),1062.0)</f>
        <v>1062</v>
      </c>
      <c r="B1066" s="7" t="str">
        <f>IFERROR(__xludf.DUMMYFUNCTION("""COMPUTED_VALUE"""),"vor 9 Tagen")</f>
        <v>vor 9 Tagen</v>
      </c>
      <c r="C1066" s="7" t="str">
        <f>IFERROR(__xludf.DUMMYFUNCTION("""COMPUTED_VALUE"""),"(Junior) Data Manager Subnational Insights &amp; Analytics (m/w/...")</f>
        <v>(Junior) Data Manager Subnational Insights &amp; Analytics (m/w/...</v>
      </c>
      <c r="D1066" s="7" t="str">
        <f>IFERROR(__xludf.DUMMYFUNCTION("""COMPUTED_VALUE"""),"Waldems")</f>
        <v>Waldems</v>
      </c>
      <c r="E1066" s="7" t="str">
        <f>IFERROR(__xludf.DUMMYFUNCTION("""COMPUTED_VALUE"""),"INSIGHT Health GmbH &amp; Co. KG")</f>
        <v>INSIGHT Health GmbH &amp; Co. KG</v>
      </c>
      <c r="F1066" s="7" t="str">
        <f>IFERROR(__xludf.DUMMYFUNCTION("""COMPUTED_VALUE"""),"None")</f>
        <v>None</v>
      </c>
      <c r="G1066" s="7" t="str">
        <f>IFERROR(__xludf.DUMMYFUNCTION("""COMPUTED_VALUE"""),"No salary data")</f>
        <v>No salary data</v>
      </c>
      <c r="H1066" s="7" t="str">
        <f>IFERROR(__xludf.DUMMYFUNCTION("""COMPUTED_VALUE"""),"No salary data")</f>
        <v>No salary data</v>
      </c>
      <c r="I1066" s="7" t="str">
        <f>IFERROR(__xludf.DUMMYFUNCTION("""COMPUTED_VALUE"""),"No salary data")</f>
        <v>No salary data</v>
      </c>
      <c r="J1066" s="7" t="str">
        <f>IFERROR(__xludf.DUMMYFUNCTION("""COMPUTED_VALUE"""),"Excel")</f>
        <v>Excel</v>
      </c>
      <c r="K1066" s="7" t="str">
        <f>IFERROR(__xludf.DUMMYFUNCTION("""COMPUTED_VALUE"""),"No job type data")</f>
        <v>No job type data</v>
      </c>
      <c r="L1066" s="7" t="str">
        <f>IFERROR(__xludf.DUMMYFUNCTION("""COMPUTED_VALUE"""),"None")</f>
        <v>None</v>
      </c>
      <c r="M1066" s="7"/>
      <c r="N1066" s="7"/>
      <c r="O1066" s="7"/>
    </row>
    <row r="1067">
      <c r="A1067" s="29">
        <f>IFERROR(__xludf.DUMMYFUNCTION("""COMPUTED_VALUE"""),1063.0)</f>
        <v>1063</v>
      </c>
      <c r="B1067" s="7" t="str">
        <f>IFERROR(__xludf.DUMMYFUNCTION("""COMPUTED_VALUE"""),"vor 7 Tagen")</f>
        <v>vor 7 Tagen</v>
      </c>
      <c r="C1067" s="7" t="str">
        <f>IFERROR(__xludf.DUMMYFUNCTION("""COMPUTED_VALUE"""),"Referent im Projekt ""Open Energy Meter Data"" (m/w/d)")</f>
        <v>Referent im Projekt "Open Energy Meter Data" (m/w/d)</v>
      </c>
      <c r="D1067" s="7" t="str">
        <f>IFERROR(__xludf.DUMMYFUNCTION("""COMPUTED_VALUE"""),"Kaiserslautern")</f>
        <v>Kaiserslautern</v>
      </c>
      <c r="E1067" s="7" t="str">
        <f>IFERROR(__xludf.DUMMYFUNCTION("""COMPUTED_VALUE"""),"Energieagentur Rheinland Pfalz GmbH")</f>
        <v>Energieagentur Rheinland Pfalz GmbH</v>
      </c>
      <c r="F1067" s="7" t="str">
        <f>IFERROR(__xludf.DUMMYFUNCTION("""COMPUTED_VALUE"""),"None")</f>
        <v>None</v>
      </c>
      <c r="G1067" s="7" t="str">
        <f>IFERROR(__xludf.DUMMYFUNCTION("""COMPUTED_VALUE"""),"No salary data")</f>
        <v>No salary data</v>
      </c>
      <c r="H1067" s="7" t="str">
        <f>IFERROR(__xludf.DUMMYFUNCTION("""COMPUTED_VALUE"""),"No salary data")</f>
        <v>No salary data</v>
      </c>
      <c r="I1067" s="7" t="str">
        <f>IFERROR(__xludf.DUMMYFUNCTION("""COMPUTED_VALUE"""),"No salary data")</f>
        <v>No salary data</v>
      </c>
      <c r="J1067" s="7" t="str">
        <f>IFERROR(__xludf.DUMMYFUNCTION("""COMPUTED_VALUE"""),"SQL, Excel")</f>
        <v>SQL, Excel</v>
      </c>
      <c r="K1067" s="7" t="str">
        <f>IFERROR(__xludf.DUMMYFUNCTION("""COMPUTED_VALUE"""),"No job type data")</f>
        <v>No job type data</v>
      </c>
      <c r="L1067" s="7" t="str">
        <f>IFERROR(__xludf.DUMMYFUNCTION("""COMPUTED_VALUE"""),"None")</f>
        <v>None</v>
      </c>
      <c r="M1067" s="7"/>
      <c r="N1067" s="7"/>
      <c r="O1067" s="7"/>
    </row>
    <row r="1068">
      <c r="A1068" s="29">
        <f>IFERROR(__xludf.DUMMYFUNCTION("""COMPUTED_VALUE"""),1064.0)</f>
        <v>1064</v>
      </c>
      <c r="B1068" s="7" t="str">
        <f>IFERROR(__xludf.DUMMYFUNCTION("""COMPUTED_VALUE"""),"vor 10 Tagen")</f>
        <v>vor 10 Tagen</v>
      </c>
      <c r="C1068" s="7" t="str">
        <f>IFERROR(__xludf.DUMMYFUNCTION("""COMPUTED_VALUE"""),"Softwareentwickler / Informatiker / Anwendungsentwickler / P...")</f>
        <v>Softwareentwickler / Informatiker / Anwendungsentwickler / P...</v>
      </c>
      <c r="D1068" s="7" t="str">
        <f>IFERROR(__xludf.DUMMYFUNCTION("""COMPUTED_VALUE"""),"Waldems")</f>
        <v>Waldems</v>
      </c>
      <c r="E1068" s="7" t="str">
        <f>IFERROR(__xludf.DUMMYFUNCTION("""COMPUTED_VALUE"""),"INSIGHT Health GmbH &amp; Co. KG")</f>
        <v>INSIGHT Health GmbH &amp; Co. KG</v>
      </c>
      <c r="F1068" s="7" t="str">
        <f>IFERROR(__xludf.DUMMYFUNCTION("""COMPUTED_VALUE"""),"None")</f>
        <v>None</v>
      </c>
      <c r="G1068" s="7" t="str">
        <f>IFERROR(__xludf.DUMMYFUNCTION("""COMPUTED_VALUE"""),"No salary data")</f>
        <v>No salary data</v>
      </c>
      <c r="H1068" s="7" t="str">
        <f>IFERROR(__xludf.DUMMYFUNCTION("""COMPUTED_VALUE"""),"No salary data")</f>
        <v>No salary data</v>
      </c>
      <c r="I1068" s="7" t="str">
        <f>IFERROR(__xludf.DUMMYFUNCTION("""COMPUTED_VALUE"""),"No salary data")</f>
        <v>No salary data</v>
      </c>
      <c r="J1068" s="7"/>
      <c r="K1068" s="7" t="str">
        <f>IFERROR(__xludf.DUMMYFUNCTION("""COMPUTED_VALUE"""),"No job type data")</f>
        <v>No job type data</v>
      </c>
      <c r="L1068" s="7" t="str">
        <f>IFERROR(__xludf.DUMMYFUNCTION("""COMPUTED_VALUE"""),"None")</f>
        <v>None</v>
      </c>
      <c r="M1068" s="7"/>
      <c r="N1068" s="7"/>
      <c r="O1068" s="7"/>
    </row>
    <row r="1069">
      <c r="A1069" s="29">
        <f>IFERROR(__xludf.DUMMYFUNCTION("""COMPUTED_VALUE"""),1065.0)</f>
        <v>1065</v>
      </c>
      <c r="B1069" s="7" t="str">
        <f>IFERROR(__xludf.DUMMYFUNCTION("""COMPUTED_VALUE"""),"vor 2 Tagen")</f>
        <v>vor 2 Tagen</v>
      </c>
      <c r="C1069" s="7" t="str">
        <f>IFERROR(__xludf.DUMMYFUNCTION("""COMPUTED_VALUE"""),".NET Entwickler (m/w/d)")</f>
        <v>.NET Entwickler (m/w/d)</v>
      </c>
      <c r="D1069" s="7" t="str">
        <f>IFERROR(__xludf.DUMMYFUNCTION("""COMPUTED_VALUE"""),"Ottobrunn")</f>
        <v>Ottobrunn</v>
      </c>
      <c r="E1069" s="7" t="str">
        <f>IFERROR(__xludf.DUMMYFUNCTION("""COMPUTED_VALUE"""),"Ing. Punzenberger COPA-DATA GmbH")</f>
        <v>Ing. Punzenberger COPA-DATA GmbH</v>
      </c>
      <c r="F1069" s="7" t="str">
        <f>IFERROR(__xludf.DUMMYFUNCTION("""COMPUTED_VALUE"""),"None")</f>
        <v>None</v>
      </c>
      <c r="G1069" s="7" t="str">
        <f>IFERROR(__xludf.DUMMYFUNCTION("""COMPUTED_VALUE"""),"No salary data")</f>
        <v>No salary data</v>
      </c>
      <c r="H1069" s="7" t="str">
        <f>IFERROR(__xludf.DUMMYFUNCTION("""COMPUTED_VALUE"""),"No salary data")</f>
        <v>No salary data</v>
      </c>
      <c r="I1069" s="7" t="str">
        <f>IFERROR(__xludf.DUMMYFUNCTION("""COMPUTED_VALUE"""),"No salary data")</f>
        <v>No salary data</v>
      </c>
      <c r="J1069" s="7"/>
      <c r="K1069" s="7" t="str">
        <f>IFERROR(__xludf.DUMMYFUNCTION("""COMPUTED_VALUE"""),"No job type data")</f>
        <v>No job type data</v>
      </c>
      <c r="L1069" s="7" t="str">
        <f>IFERROR(__xludf.DUMMYFUNCTION("""COMPUTED_VALUE"""),"None")</f>
        <v>None</v>
      </c>
      <c r="M1069" s="7"/>
      <c r="N1069" s="7"/>
      <c r="O1069" s="7"/>
    </row>
    <row r="1070">
      <c r="A1070" s="29">
        <f>IFERROR(__xludf.DUMMYFUNCTION("""COMPUTED_VALUE"""),1066.0)</f>
        <v>1066</v>
      </c>
      <c r="B1070" s="7" t="str">
        <f>IFERROR(__xludf.DUMMYFUNCTION("""COMPUTED_VALUE"""),"Vor mehr als 30 Tagen")</f>
        <v>Vor mehr als 30 Tagen</v>
      </c>
      <c r="C1070" s="7" t="str">
        <f>IFERROR(__xludf.DUMMYFUNCTION("""COMPUTED_VALUE"""),"Ausbildung zum Fachinformatiker (m/w/d) Systemintegration")</f>
        <v>Ausbildung zum Fachinformatiker (m/w/d) Systemintegration</v>
      </c>
      <c r="D1070" s="7" t="str">
        <f>IFERROR(__xludf.DUMMYFUNCTION("""COMPUTED_VALUE"""),"Nürnberg")</f>
        <v>Nürnberg</v>
      </c>
      <c r="E1070" s="7" t="str">
        <f>IFERROR(__xludf.DUMMYFUNCTION("""COMPUTED_VALUE"""),"ING Deutschland")</f>
        <v>ING Deutschland</v>
      </c>
      <c r="F1070" s="7" t="str">
        <f>IFERROR(__xludf.DUMMYFUNCTION("""COMPUTED_VALUE"""),"None")</f>
        <v>None</v>
      </c>
      <c r="G1070" s="7" t="str">
        <f>IFERROR(__xludf.DUMMYFUNCTION("""COMPUTED_VALUE"""),"No salary data")</f>
        <v>No salary data</v>
      </c>
      <c r="H1070" s="7" t="str">
        <f>IFERROR(__xludf.DUMMYFUNCTION("""COMPUTED_VALUE"""),"No salary data")</f>
        <v>No salary data</v>
      </c>
      <c r="I1070" s="7" t="str">
        <f>IFERROR(__xludf.DUMMYFUNCTION("""COMPUTED_VALUE"""),"No salary data")</f>
        <v>No salary data</v>
      </c>
      <c r="J1070" s="7"/>
      <c r="K1070" s="7" t="str">
        <f>IFERROR(__xludf.DUMMYFUNCTION("""COMPUTED_VALUE"""),"No job type data")</f>
        <v>No job type data</v>
      </c>
      <c r="L1070" s="7" t="str">
        <f>IFERROR(__xludf.DUMMYFUNCTION("""COMPUTED_VALUE"""),"None")</f>
        <v>None</v>
      </c>
      <c r="M1070" s="7"/>
      <c r="N1070" s="7"/>
      <c r="O1070" s="7"/>
    </row>
    <row r="1071">
      <c r="A1071" s="29">
        <f>IFERROR(__xludf.DUMMYFUNCTION("""COMPUTED_VALUE"""),1067.0)</f>
        <v>1067</v>
      </c>
      <c r="B1071" s="7" t="str">
        <f>IFERROR(__xludf.DUMMYFUNCTION("""COMPUTED_VALUE"""),"Vor mehr als 30 Tagen")</f>
        <v>Vor mehr als 30 Tagen</v>
      </c>
      <c r="C1071" s="7" t="str">
        <f>IFERROR(__xludf.DUMMYFUNCTION("""COMPUTED_VALUE"""),"Data Engineer (m/w/d)")</f>
        <v>Data Engineer (m/w/d)</v>
      </c>
      <c r="D1071" s="7" t="str">
        <f>IFERROR(__xludf.DUMMYFUNCTION("""COMPUTED_VALUE"""),"Pforzheim")</f>
        <v>Pforzheim</v>
      </c>
      <c r="E1071" s="7" t="str">
        <f>IFERROR(__xludf.DUMMYFUNCTION("""COMPUTED_VALUE"""),"BRUNO BADER GmbH + Co. KG")</f>
        <v>BRUNO BADER GmbH + Co. KG</v>
      </c>
      <c r="F1071" s="7" t="str">
        <f>IFERROR(__xludf.DUMMYFUNCTION("""COMPUTED_VALUE"""),"None")</f>
        <v>None</v>
      </c>
      <c r="G1071" s="7" t="str">
        <f>IFERROR(__xludf.DUMMYFUNCTION("""COMPUTED_VALUE"""),"No salary data")</f>
        <v>No salary data</v>
      </c>
      <c r="H1071" s="7" t="str">
        <f>IFERROR(__xludf.DUMMYFUNCTION("""COMPUTED_VALUE"""),"No salary data")</f>
        <v>No salary data</v>
      </c>
      <c r="I1071" s="7" t="str">
        <f>IFERROR(__xludf.DUMMYFUNCTION("""COMPUTED_VALUE"""),"No salary data")</f>
        <v>No salary data</v>
      </c>
      <c r="J1071" s="7" t="str">
        <f>IFERROR(__xludf.DUMMYFUNCTION("""COMPUTED_VALUE"""),"SQL")</f>
        <v>SQL</v>
      </c>
      <c r="K1071" s="7" t="str">
        <f>IFERROR(__xludf.DUMMYFUNCTION("""COMPUTED_VALUE"""),"No job type data")</f>
        <v>No job type data</v>
      </c>
      <c r="L1071" s="7" t="str">
        <f>IFERROR(__xludf.DUMMYFUNCTION("""COMPUTED_VALUE"""),"None")</f>
        <v>None</v>
      </c>
      <c r="M1071" s="7"/>
      <c r="N1071" s="7"/>
      <c r="O1071" s="7"/>
    </row>
    <row r="1072">
      <c r="A1072" s="29">
        <f>IFERROR(__xludf.DUMMYFUNCTION("""COMPUTED_VALUE"""),1068.0)</f>
        <v>1068</v>
      </c>
      <c r="B1072" s="7" t="str">
        <f>IFERROR(__xludf.DUMMYFUNCTION("""COMPUTED_VALUE"""),"vor 10 Tagen")</f>
        <v>vor 10 Tagen</v>
      </c>
      <c r="C1072" s="7" t="str">
        <f>IFERROR(__xludf.DUMMYFUNCTION("""COMPUTED_VALUE"""),"Teilprojektleitung Applikationsentwicklung und -management (...")</f>
        <v>Teilprojektleitung Applikationsentwicklung und -management (...</v>
      </c>
      <c r="D1072" s="7" t="str">
        <f>IFERROR(__xludf.DUMMYFUNCTION("""COMPUTED_VALUE"""),"Berlin")</f>
        <v>Berlin</v>
      </c>
      <c r="E1072" s="7" t="str">
        <f>IFERROR(__xludf.DUMMYFUNCTION("""COMPUTED_VALUE"""),"Tegel Projekt GmbH")</f>
        <v>Tegel Projekt GmbH</v>
      </c>
      <c r="F1072" s="7" t="str">
        <f>IFERROR(__xludf.DUMMYFUNCTION("""COMPUTED_VALUE"""),"None")</f>
        <v>None</v>
      </c>
      <c r="G1072" s="7" t="str">
        <f>IFERROR(__xludf.DUMMYFUNCTION("""COMPUTED_VALUE"""),"No salary data")</f>
        <v>No salary data</v>
      </c>
      <c r="H1072" s="7" t="str">
        <f>IFERROR(__xludf.DUMMYFUNCTION("""COMPUTED_VALUE"""),"No salary data")</f>
        <v>No salary data</v>
      </c>
      <c r="I1072" s="7" t="str">
        <f>IFERROR(__xludf.DUMMYFUNCTION("""COMPUTED_VALUE"""),"No salary data")</f>
        <v>No salary data</v>
      </c>
      <c r="J1072" s="7" t="str">
        <f>IFERROR(__xludf.DUMMYFUNCTION("""COMPUTED_VALUE"""),"Python, Agile")</f>
        <v>Python, Agile</v>
      </c>
      <c r="K1072" s="7" t="str">
        <f>IFERROR(__xludf.DUMMYFUNCTION("""COMPUTED_VALUE"""),"No job type data")</f>
        <v>No job type data</v>
      </c>
      <c r="L1072" s="7" t="str">
        <f>IFERROR(__xludf.DUMMYFUNCTION("""COMPUTED_VALUE"""),"None")</f>
        <v>None</v>
      </c>
      <c r="M1072" s="7"/>
      <c r="N1072" s="7"/>
      <c r="O1072" s="7"/>
    </row>
    <row r="1073">
      <c r="A1073" s="29">
        <f>IFERROR(__xludf.DUMMYFUNCTION("""COMPUTED_VALUE"""),1069.0)</f>
        <v>1069</v>
      </c>
      <c r="B1073" s="7" t="str">
        <f>IFERROR(__xludf.DUMMYFUNCTION("""COMPUTED_VALUE"""),"vor 14 Tagen")</f>
        <v>vor 14 Tagen</v>
      </c>
      <c r="C1073" s="7" t="str">
        <f>IFERROR(__xludf.DUMMYFUNCTION("""COMPUTED_VALUE"""),"Marketing Data Analyst (m/w/d)")</f>
        <v>Marketing Data Analyst (m/w/d)</v>
      </c>
      <c r="D1073" s="7" t="str">
        <f>IFERROR(__xludf.DUMMYFUNCTION("""COMPUTED_VALUE"""),"Köln")</f>
        <v>Köln</v>
      </c>
      <c r="E1073" s="7" t="str">
        <f>IFERROR(__xludf.DUMMYFUNCTION("""COMPUTED_VALUE"""),"Lehmanns Media GmbH")</f>
        <v>Lehmanns Media GmbH</v>
      </c>
      <c r="F1073" s="7" t="str">
        <f>IFERROR(__xludf.DUMMYFUNCTION("""COMPUTED_VALUE"""),"None")</f>
        <v>None</v>
      </c>
      <c r="G1073" s="7" t="str">
        <f>IFERROR(__xludf.DUMMYFUNCTION("""COMPUTED_VALUE"""),"No salary data")</f>
        <v>No salary data</v>
      </c>
      <c r="H1073" s="7" t="str">
        <f>IFERROR(__xludf.DUMMYFUNCTION("""COMPUTED_VALUE"""),"No salary data")</f>
        <v>No salary data</v>
      </c>
      <c r="I1073" s="7" t="str">
        <f>IFERROR(__xludf.DUMMYFUNCTION("""COMPUTED_VALUE"""),"No salary data")</f>
        <v>No salary data</v>
      </c>
      <c r="J1073" s="7" t="str">
        <f>IFERROR(__xludf.DUMMYFUNCTION("""COMPUTED_VALUE"""),"Git")</f>
        <v>Git</v>
      </c>
      <c r="K1073" s="7" t="str">
        <f>IFERROR(__xludf.DUMMYFUNCTION("""COMPUTED_VALUE"""),"No job type data")</f>
        <v>No job type data</v>
      </c>
      <c r="L1073" s="7" t="str">
        <f>IFERROR(__xludf.DUMMYFUNCTION("""COMPUTED_VALUE"""),"None")</f>
        <v>None</v>
      </c>
      <c r="M1073" s="7"/>
      <c r="N1073" s="7"/>
      <c r="O1073" s="7"/>
    </row>
    <row r="1074">
      <c r="A1074" s="29">
        <f>IFERROR(__xludf.DUMMYFUNCTION("""COMPUTED_VALUE"""),1070.0)</f>
        <v>1070</v>
      </c>
      <c r="B1074" s="7" t="str">
        <f>IFERROR(__xludf.DUMMYFUNCTION("""COMPUTED_VALUE"""),"vor 23 Tagen")</f>
        <v>vor 23 Tagen</v>
      </c>
      <c r="C1074" s="7" t="str">
        <f>IFERROR(__xludf.DUMMYFUNCTION("""COMPUTED_VALUE"""),"Junior Prozessmanager / Business Analyst (m/w/d) Schwerpunkt...")</f>
        <v>Junior Prozessmanager / Business Analyst (m/w/d) Schwerpunkt...</v>
      </c>
      <c r="D1074" s="7" t="str">
        <f>IFERROR(__xludf.DUMMYFUNCTION("""COMPUTED_VALUE"""),"Pforzheim")</f>
        <v>Pforzheim</v>
      </c>
      <c r="E1074" s="7" t="str">
        <f>IFERROR(__xludf.DUMMYFUNCTION("""COMPUTED_VALUE"""),"BRUNO BADER GmbH + Co. KG")</f>
        <v>BRUNO BADER GmbH + Co. KG</v>
      </c>
      <c r="F1074" s="7" t="str">
        <f>IFERROR(__xludf.DUMMYFUNCTION("""COMPUTED_VALUE"""),"None")</f>
        <v>None</v>
      </c>
      <c r="G1074" s="7" t="str">
        <f>IFERROR(__xludf.DUMMYFUNCTION("""COMPUTED_VALUE"""),"No salary data")</f>
        <v>No salary data</v>
      </c>
      <c r="H1074" s="7" t="str">
        <f>IFERROR(__xludf.DUMMYFUNCTION("""COMPUTED_VALUE"""),"No salary data")</f>
        <v>No salary data</v>
      </c>
      <c r="I1074" s="7" t="str">
        <f>IFERROR(__xludf.DUMMYFUNCTION("""COMPUTED_VALUE"""),"No salary data")</f>
        <v>No salary data</v>
      </c>
      <c r="J1074" s="7" t="str">
        <f>IFERROR(__xludf.DUMMYFUNCTION("""COMPUTED_VALUE"""),"SQL, Excel")</f>
        <v>SQL, Excel</v>
      </c>
      <c r="K1074" s="7" t="str">
        <f>IFERROR(__xludf.DUMMYFUNCTION("""COMPUTED_VALUE"""),"No job type data")</f>
        <v>No job type data</v>
      </c>
      <c r="L1074" s="7" t="str">
        <f>IFERROR(__xludf.DUMMYFUNCTION("""COMPUTED_VALUE"""),"None")</f>
        <v>None</v>
      </c>
      <c r="M1074" s="7"/>
      <c r="N1074" s="7"/>
      <c r="O1074" s="7"/>
    </row>
    <row r="1075">
      <c r="A1075" s="29">
        <f>IFERROR(__xludf.DUMMYFUNCTION("""COMPUTED_VALUE"""),1071.0)</f>
        <v>1071</v>
      </c>
      <c r="B1075" s="7" t="str">
        <f>IFERROR(__xludf.DUMMYFUNCTION("""COMPUTED_VALUE"""),"vor 4 Tagen")</f>
        <v>vor 4 Tagen</v>
      </c>
      <c r="C1075" s="7" t="str">
        <f>IFERROR(__xludf.DUMMYFUNCTION("""COMPUTED_VALUE"""),"Aktuar im Bereich Statistik/Bilanzmathematik (m/w/d)")</f>
        <v>Aktuar im Bereich Statistik/Bilanzmathematik (m/w/d)</v>
      </c>
      <c r="D1075" s="7" t="str">
        <f>IFERROR(__xludf.DUMMYFUNCTION("""COMPUTED_VALUE"""),"München")</f>
        <v>München</v>
      </c>
      <c r="E1075" s="7" t="str">
        <f>IFERROR(__xludf.DUMMYFUNCTION("""COMPUTED_VALUE"""),"Dr. Weber &amp; Partner GmbH")</f>
        <v>Dr. Weber &amp; Partner GmbH</v>
      </c>
      <c r="F1075" s="7" t="str">
        <f>IFERROR(__xludf.DUMMYFUNCTION("""COMPUTED_VALUE"""),"None")</f>
        <v>None</v>
      </c>
      <c r="G1075" s="7" t="str">
        <f>IFERROR(__xludf.DUMMYFUNCTION("""COMPUTED_VALUE"""),"No salary data")</f>
        <v>No salary data</v>
      </c>
      <c r="H1075" s="7" t="str">
        <f>IFERROR(__xludf.DUMMYFUNCTION("""COMPUTED_VALUE"""),"No salary data")</f>
        <v>No salary data</v>
      </c>
      <c r="I1075" s="7" t="str">
        <f>IFERROR(__xludf.DUMMYFUNCTION("""COMPUTED_VALUE"""),"No salary data")</f>
        <v>No salary data</v>
      </c>
      <c r="J1075" s="7"/>
      <c r="K1075" s="7" t="str">
        <f>IFERROR(__xludf.DUMMYFUNCTION("""COMPUTED_VALUE"""),"No job type data")</f>
        <v>No job type data</v>
      </c>
      <c r="L1075" s="7" t="str">
        <f>IFERROR(__xludf.DUMMYFUNCTION("""COMPUTED_VALUE"""),"None")</f>
        <v>None</v>
      </c>
      <c r="M1075" s="7"/>
      <c r="N1075" s="7"/>
      <c r="O1075" s="7"/>
    </row>
    <row r="1076">
      <c r="A1076" s="29">
        <f>IFERROR(__xludf.DUMMYFUNCTION("""COMPUTED_VALUE"""),1072.0)</f>
        <v>1072</v>
      </c>
      <c r="B1076" s="7" t="str">
        <f>IFERROR(__xludf.DUMMYFUNCTION("""COMPUTED_VALUE"""),"vor 10 Tagen")</f>
        <v>vor 10 Tagen</v>
      </c>
      <c r="C1076" s="7" t="str">
        <f>IFERROR(__xludf.DUMMYFUNCTION("""COMPUTED_VALUE"""),"(Junior) Data Manager Subnational Insights &amp; Analytics (m/w/...")</f>
        <v>(Junior) Data Manager Subnational Insights &amp; Analytics (m/w/...</v>
      </c>
      <c r="D1076" s="7" t="str">
        <f>IFERROR(__xludf.DUMMYFUNCTION("""COMPUTED_VALUE"""),"Waldems")</f>
        <v>Waldems</v>
      </c>
      <c r="E1076" s="7" t="str">
        <f>IFERROR(__xludf.DUMMYFUNCTION("""COMPUTED_VALUE"""),"INSIGHT Health GmbH &amp; Co. KG")</f>
        <v>INSIGHT Health GmbH &amp; Co. KG</v>
      </c>
      <c r="F1076" s="7" t="str">
        <f>IFERROR(__xludf.DUMMYFUNCTION("""COMPUTED_VALUE"""),"None")</f>
        <v>None</v>
      </c>
      <c r="G1076" s="7" t="str">
        <f>IFERROR(__xludf.DUMMYFUNCTION("""COMPUTED_VALUE"""),"No salary data")</f>
        <v>No salary data</v>
      </c>
      <c r="H1076" s="7" t="str">
        <f>IFERROR(__xludf.DUMMYFUNCTION("""COMPUTED_VALUE"""),"No salary data")</f>
        <v>No salary data</v>
      </c>
      <c r="I1076" s="7" t="str">
        <f>IFERROR(__xludf.DUMMYFUNCTION("""COMPUTED_VALUE"""),"No salary data")</f>
        <v>No salary data</v>
      </c>
      <c r="J1076" s="7" t="str">
        <f>IFERROR(__xludf.DUMMYFUNCTION("""COMPUTED_VALUE"""),"Excel")</f>
        <v>Excel</v>
      </c>
      <c r="K1076" s="7" t="str">
        <f>IFERROR(__xludf.DUMMYFUNCTION("""COMPUTED_VALUE"""),"No job type data")</f>
        <v>No job type data</v>
      </c>
      <c r="L1076" s="7" t="str">
        <f>IFERROR(__xludf.DUMMYFUNCTION("""COMPUTED_VALUE"""),"None")</f>
        <v>None</v>
      </c>
      <c r="M1076" s="7"/>
      <c r="N1076" s="7"/>
      <c r="O1076" s="7"/>
    </row>
    <row r="1077">
      <c r="A1077" s="29">
        <f>IFERROR(__xludf.DUMMYFUNCTION("""COMPUTED_VALUE"""),1073.0)</f>
        <v>1073</v>
      </c>
      <c r="B1077" s="7" t="str">
        <f>IFERROR(__xludf.DUMMYFUNCTION("""COMPUTED_VALUE"""),"Gerade geschaltet")</f>
        <v>Gerade geschaltet</v>
      </c>
      <c r="C1077" s="7" t="str">
        <f>IFERROR(__xludf.DUMMYFUNCTION("""COMPUTED_VALUE"""),"Quantitative Consultant")</f>
        <v>Quantitative Consultant</v>
      </c>
      <c r="D1077" s="7" t="str">
        <f>IFERROR(__xludf.DUMMYFUNCTION("""COMPUTED_VALUE"""),"Frankfurt am Main")</f>
        <v>Frankfurt am Main</v>
      </c>
      <c r="E1077" s="7" t="str">
        <f>IFERROR(__xludf.DUMMYFUNCTION("""COMPUTED_VALUE"""),"Albert Cliff")</f>
        <v>Albert Cliff</v>
      </c>
      <c r="F1077" s="7" t="str">
        <f>IFERROR(__xludf.DUMMYFUNCTION("""COMPUTED_VALUE"""),"60,000 € pro Jahr")</f>
        <v>60,000 € pro Jahr</v>
      </c>
      <c r="G1077" s="7">
        <f>IFERROR(__xludf.DUMMYFUNCTION("""COMPUTED_VALUE"""),60000.0)</f>
        <v>60000</v>
      </c>
      <c r="H1077" s="7" t="str">
        <f>IFERROR(__xludf.DUMMYFUNCTION("""COMPUTED_VALUE"""),"Jahr")</f>
        <v>Jahr</v>
      </c>
      <c r="I1077" s="7">
        <f>IFERROR(__xludf.DUMMYFUNCTION("""COMPUTED_VALUE"""),60000.0)</f>
        <v>60000</v>
      </c>
      <c r="J1077" s="7" t="str">
        <f>IFERROR(__xludf.DUMMYFUNCTION("""COMPUTED_VALUE"""),"Python")</f>
        <v>Python</v>
      </c>
      <c r="K1077" s="7" t="str">
        <f>IFERROR(__xludf.DUMMYFUNCTION("""COMPUTED_VALUE"""),"No job type data")</f>
        <v>No job type data</v>
      </c>
      <c r="L1077" s="7" t="str">
        <f>IFERROR(__xludf.DUMMYFUNCTION("""COMPUTED_VALUE"""),"None")</f>
        <v>None</v>
      </c>
      <c r="M1077" s="7"/>
      <c r="N1077" s="7"/>
      <c r="O1077" s="7"/>
    </row>
    <row r="1078">
      <c r="A1078" s="29">
        <f>IFERROR(__xludf.DUMMYFUNCTION("""COMPUTED_VALUE"""),1074.0)</f>
        <v>1074</v>
      </c>
      <c r="B1078" s="7" t="str">
        <f>IFERROR(__xludf.DUMMYFUNCTION("""COMPUTED_VALUE"""),"vor 18 Tagen")</f>
        <v>vor 18 Tagen</v>
      </c>
      <c r="C1078" s="7" t="str">
        <f>IFERROR(__xludf.DUMMYFUNCTION("""COMPUTED_VALUE"""),"Financial Data Analyst Data Quality Management (m/w/d)")</f>
        <v>Financial Data Analyst Data Quality Management (m/w/d)</v>
      </c>
      <c r="D1078" s="7" t="str">
        <f>IFERROR(__xludf.DUMMYFUNCTION("""COMPUTED_VALUE"""),"Frankfurt am Main")</f>
        <v>Frankfurt am Main</v>
      </c>
      <c r="E1078" s="7" t="str">
        <f>IFERROR(__xludf.DUMMYFUNCTION("""COMPUTED_VALUE"""),"Index Intelligence GmbH")</f>
        <v>Index Intelligence GmbH</v>
      </c>
      <c r="F1078" s="7" t="str">
        <f>IFERROR(__xludf.DUMMYFUNCTION("""COMPUTED_VALUE"""),"None")</f>
        <v>None</v>
      </c>
      <c r="G1078" s="7" t="str">
        <f>IFERROR(__xludf.DUMMYFUNCTION("""COMPUTED_VALUE"""),"No salary data")</f>
        <v>No salary data</v>
      </c>
      <c r="H1078" s="7" t="str">
        <f>IFERROR(__xludf.DUMMYFUNCTION("""COMPUTED_VALUE"""),"No salary data")</f>
        <v>No salary data</v>
      </c>
      <c r="I1078" s="7" t="str">
        <f>IFERROR(__xludf.DUMMYFUNCTION("""COMPUTED_VALUE"""),"No salary data")</f>
        <v>No salary data</v>
      </c>
      <c r="J1078" s="7" t="str">
        <f>IFERROR(__xludf.DUMMYFUNCTION("""COMPUTED_VALUE"""),"SQL, Excel")</f>
        <v>SQL, Excel</v>
      </c>
      <c r="K1078" s="7" t="str">
        <f>IFERROR(__xludf.DUMMYFUNCTION("""COMPUTED_VALUE"""),"No job type data")</f>
        <v>No job type data</v>
      </c>
      <c r="L1078" s="7" t="str">
        <f>IFERROR(__xludf.DUMMYFUNCTION("""COMPUTED_VALUE"""),"None")</f>
        <v>None</v>
      </c>
      <c r="M1078" s="7"/>
      <c r="N1078" s="7"/>
      <c r="O1078" s="7"/>
    </row>
    <row r="1079">
      <c r="A1079" s="29">
        <f>IFERROR(__xludf.DUMMYFUNCTION("""COMPUTED_VALUE"""),1075.0)</f>
        <v>1075</v>
      </c>
      <c r="B1079" s="7" t="str">
        <f>IFERROR(__xludf.DUMMYFUNCTION("""COMPUTED_VALUE"""),"Vor mehr als 30 Tagen")</f>
        <v>Vor mehr als 30 Tagen</v>
      </c>
      <c r="C1079" s="7" t="str">
        <f>IFERROR(__xludf.DUMMYFUNCTION("""COMPUTED_VALUE"""),"Manager, Business Analytics")</f>
        <v>Manager, Business Analytics</v>
      </c>
      <c r="D1079" s="7" t="str">
        <f>IFERROR(__xludf.DUMMYFUNCTION("""COMPUTED_VALUE"""),"Dreilinden")</f>
        <v>Dreilinden</v>
      </c>
      <c r="E1079" s="7" t="str">
        <f>IFERROR(__xludf.DUMMYFUNCTION("""COMPUTED_VALUE"""),"PayPal")</f>
        <v>PayPal</v>
      </c>
      <c r="F1079" s="7" t="str">
        <f>IFERROR(__xludf.DUMMYFUNCTION("""COMPUTED_VALUE"""),"None")</f>
        <v>None</v>
      </c>
      <c r="G1079" s="7" t="str">
        <f>IFERROR(__xludf.DUMMYFUNCTION("""COMPUTED_VALUE"""),"No salary data")</f>
        <v>No salary data</v>
      </c>
      <c r="H1079" s="7" t="str">
        <f>IFERROR(__xludf.DUMMYFUNCTION("""COMPUTED_VALUE"""),"No salary data")</f>
        <v>No salary data</v>
      </c>
      <c r="I1079" s="7" t="str">
        <f>IFERROR(__xludf.DUMMYFUNCTION("""COMPUTED_VALUE"""),"No salary data")</f>
        <v>No salary data</v>
      </c>
      <c r="J1079" s="7" t="str">
        <f>IFERROR(__xludf.DUMMYFUNCTION("""COMPUTED_VALUE"""),"Python, SQL, Excel, Git")</f>
        <v>Python, SQL, Excel, Git</v>
      </c>
      <c r="K1079" s="7" t="str">
        <f>IFERROR(__xludf.DUMMYFUNCTION("""COMPUTED_VALUE"""),"No job type data")</f>
        <v>No job type data</v>
      </c>
      <c r="L1079" s="7" t="str">
        <f>IFERROR(__xludf.DUMMYFUNCTION("""COMPUTED_VALUE"""),"3,9")</f>
        <v>3,9</v>
      </c>
      <c r="M1079" s="7"/>
      <c r="N1079" s="7"/>
      <c r="O1079" s="7"/>
    </row>
    <row r="1080">
      <c r="A1080" s="29">
        <f>IFERROR(__xludf.DUMMYFUNCTION("""COMPUTED_VALUE"""),1076.0)</f>
        <v>1076</v>
      </c>
      <c r="B1080" s="7" t="str">
        <f>IFERROR(__xludf.DUMMYFUNCTION("""COMPUTED_VALUE"""),"vor 18 Tagen")</f>
        <v>vor 18 Tagen</v>
      </c>
      <c r="C1080" s="7" t="str">
        <f>IFERROR(__xludf.DUMMYFUNCTION("""COMPUTED_VALUE"""),"Financial Data Analyst Data Quality Management (m/w/d)")</f>
        <v>Financial Data Analyst Data Quality Management (m/w/d)</v>
      </c>
      <c r="D1080" s="7" t="str">
        <f>IFERROR(__xludf.DUMMYFUNCTION("""COMPUTED_VALUE"""),"Dresden")</f>
        <v>Dresden</v>
      </c>
      <c r="E1080" s="7" t="str">
        <f>IFERROR(__xludf.DUMMYFUNCTION("""COMPUTED_VALUE"""),"Index Intelligence GmbH")</f>
        <v>Index Intelligence GmbH</v>
      </c>
      <c r="F1080" s="7" t="str">
        <f>IFERROR(__xludf.DUMMYFUNCTION("""COMPUTED_VALUE"""),"None")</f>
        <v>None</v>
      </c>
      <c r="G1080" s="7" t="str">
        <f>IFERROR(__xludf.DUMMYFUNCTION("""COMPUTED_VALUE"""),"No salary data")</f>
        <v>No salary data</v>
      </c>
      <c r="H1080" s="7" t="str">
        <f>IFERROR(__xludf.DUMMYFUNCTION("""COMPUTED_VALUE"""),"No salary data")</f>
        <v>No salary data</v>
      </c>
      <c r="I1080" s="7" t="str">
        <f>IFERROR(__xludf.DUMMYFUNCTION("""COMPUTED_VALUE"""),"No salary data")</f>
        <v>No salary data</v>
      </c>
      <c r="J1080" s="7" t="str">
        <f>IFERROR(__xludf.DUMMYFUNCTION("""COMPUTED_VALUE"""),"SQL, Excel")</f>
        <v>SQL, Excel</v>
      </c>
      <c r="K1080" s="7" t="str">
        <f>IFERROR(__xludf.DUMMYFUNCTION("""COMPUTED_VALUE"""),"No job type data")</f>
        <v>No job type data</v>
      </c>
      <c r="L1080" s="7" t="str">
        <f>IFERROR(__xludf.DUMMYFUNCTION("""COMPUTED_VALUE"""),"None")</f>
        <v>None</v>
      </c>
      <c r="M1080" s="7"/>
      <c r="N1080" s="7"/>
      <c r="O1080" s="7"/>
    </row>
    <row r="1081">
      <c r="A1081" s="29">
        <f>IFERROR(__xludf.DUMMYFUNCTION("""COMPUTED_VALUE"""),1077.0)</f>
        <v>1077</v>
      </c>
      <c r="B1081" s="7" t="str">
        <f>IFERROR(__xludf.DUMMYFUNCTION("""COMPUTED_VALUE"""),"vor 21 Tagen")</f>
        <v>vor 21 Tagen</v>
      </c>
      <c r="C1081" s="7" t="str">
        <f>IFERROR(__xludf.DUMMYFUNCTION("""COMPUTED_VALUE"""),"Data Engineer (m/w/d)")</f>
        <v>Data Engineer (m/w/d)</v>
      </c>
      <c r="D1081" s="7" t="str">
        <f>IFERROR(__xludf.DUMMYFUNCTION("""COMPUTED_VALUE"""),"Köln")</f>
        <v>Köln</v>
      </c>
      <c r="E1081" s="7" t="str">
        <f>IFERROR(__xludf.DUMMYFUNCTION("""COMPUTED_VALUE"""),"taod Consulting GmbH")</f>
        <v>taod Consulting GmbH</v>
      </c>
      <c r="F1081" s="7" t="str">
        <f>IFERROR(__xludf.DUMMYFUNCTION("""COMPUTED_VALUE"""),"None")</f>
        <v>None</v>
      </c>
      <c r="G1081" s="7" t="str">
        <f>IFERROR(__xludf.DUMMYFUNCTION("""COMPUTED_VALUE"""),"No salary data")</f>
        <v>No salary data</v>
      </c>
      <c r="H1081" s="7" t="str">
        <f>IFERROR(__xludf.DUMMYFUNCTION("""COMPUTED_VALUE"""),"No salary data")</f>
        <v>No salary data</v>
      </c>
      <c r="I1081" s="7" t="str">
        <f>IFERROR(__xludf.DUMMYFUNCTION("""COMPUTED_VALUE"""),"No salary data")</f>
        <v>No salary data</v>
      </c>
      <c r="J1081" s="7" t="str">
        <f>IFERROR(__xludf.DUMMYFUNCTION("""COMPUTED_VALUE"""),"Python, SQL, Agile")</f>
        <v>Python, SQL, Agile</v>
      </c>
      <c r="K1081" s="7" t="str">
        <f>IFERROR(__xludf.DUMMYFUNCTION("""COMPUTED_VALUE"""),"No job type data")</f>
        <v>No job type data</v>
      </c>
      <c r="L1081" s="7" t="str">
        <f>IFERROR(__xludf.DUMMYFUNCTION("""COMPUTED_VALUE"""),"None")</f>
        <v>None</v>
      </c>
      <c r="M1081" s="7"/>
      <c r="N1081" s="7"/>
      <c r="O1081" s="7"/>
    </row>
    <row r="1082">
      <c r="A1082" s="29">
        <f>IFERROR(__xludf.DUMMYFUNCTION("""COMPUTED_VALUE"""),1078.0)</f>
        <v>1078</v>
      </c>
      <c r="B1082" s="7" t="str">
        <f>IFERROR(__xludf.DUMMYFUNCTION("""COMPUTED_VALUE"""),"vor 1 Tag")</f>
        <v>vor 1 Tag</v>
      </c>
      <c r="C1082" s="7" t="str">
        <f>IFERROR(__xludf.DUMMYFUNCTION("""COMPUTED_VALUE"""),"Strategic Partner Consultant - ZMS")</f>
        <v>Strategic Partner Consultant - ZMS</v>
      </c>
      <c r="D1082" s="7" t="str">
        <f>IFERROR(__xludf.DUMMYFUNCTION("""COMPUTED_VALUE"""),"Berlin")</f>
        <v>Berlin</v>
      </c>
      <c r="E1082" s="7" t="str">
        <f>IFERROR(__xludf.DUMMYFUNCTION("""COMPUTED_VALUE"""),"Zalando")</f>
        <v>Zalando</v>
      </c>
      <c r="F1082" s="7" t="str">
        <f>IFERROR(__xludf.DUMMYFUNCTION("""COMPUTED_VALUE"""),"None")</f>
        <v>None</v>
      </c>
      <c r="G1082" s="7" t="str">
        <f>IFERROR(__xludf.DUMMYFUNCTION("""COMPUTED_VALUE"""),"No salary data")</f>
        <v>No salary data</v>
      </c>
      <c r="H1082" s="7" t="str">
        <f>IFERROR(__xludf.DUMMYFUNCTION("""COMPUTED_VALUE"""),"No salary data")</f>
        <v>No salary data</v>
      </c>
      <c r="I1082" s="7" t="str">
        <f>IFERROR(__xludf.DUMMYFUNCTION("""COMPUTED_VALUE"""),"No salary data")</f>
        <v>No salary data</v>
      </c>
      <c r="J1082" s="7" t="str">
        <f>IFERROR(__xludf.DUMMYFUNCTION("""COMPUTED_VALUE"""),"Excel, Git")</f>
        <v>Excel, Git</v>
      </c>
      <c r="K1082" s="7" t="str">
        <f>IFERROR(__xludf.DUMMYFUNCTION("""COMPUTED_VALUE"""),"Volunteer")</f>
        <v>Volunteer</v>
      </c>
      <c r="L1082" s="7" t="str">
        <f>IFERROR(__xludf.DUMMYFUNCTION("""COMPUTED_VALUE"""),"3,1")</f>
        <v>3,1</v>
      </c>
      <c r="M1082" s="7"/>
      <c r="N1082" s="7"/>
      <c r="O1082" s="7"/>
    </row>
    <row r="1083">
      <c r="A1083" s="29">
        <f>IFERROR(__xludf.DUMMYFUNCTION("""COMPUTED_VALUE"""),1079.0)</f>
        <v>1079</v>
      </c>
      <c r="B1083" s="7" t="str">
        <f>IFERROR(__xludf.DUMMYFUNCTION("""COMPUTED_VALUE"""),"Gerade geschaltet")</f>
        <v>Gerade geschaltet</v>
      </c>
      <c r="C1083" s="7" t="str">
        <f>IFERROR(__xludf.DUMMYFUNCTION("""COMPUTED_VALUE"""),"Valuation Expert for Complex Financial Instruments")</f>
        <v>Valuation Expert for Complex Financial Instruments</v>
      </c>
      <c r="D1083" s="7" t="str">
        <f>IFERROR(__xludf.DUMMYFUNCTION("""COMPUTED_VALUE"""),"Frankfurt am Main")</f>
        <v>Frankfurt am Main</v>
      </c>
      <c r="E1083" s="7" t="str">
        <f>IFERROR(__xludf.DUMMYFUNCTION("""COMPUTED_VALUE"""),"Brock &amp; Decker")</f>
        <v>Brock &amp; Decker</v>
      </c>
      <c r="F1083" s="7" t="str">
        <f>IFERROR(__xludf.DUMMYFUNCTION("""COMPUTED_VALUE"""),"None")</f>
        <v>None</v>
      </c>
      <c r="G1083" s="7" t="str">
        <f>IFERROR(__xludf.DUMMYFUNCTION("""COMPUTED_VALUE"""),"No salary data")</f>
        <v>No salary data</v>
      </c>
      <c r="H1083" s="7" t="str">
        <f>IFERROR(__xludf.DUMMYFUNCTION("""COMPUTED_VALUE"""),"No salary data")</f>
        <v>No salary data</v>
      </c>
      <c r="I1083" s="7" t="str">
        <f>IFERROR(__xludf.DUMMYFUNCTION("""COMPUTED_VALUE"""),"No salary data")</f>
        <v>No salary data</v>
      </c>
      <c r="J1083" s="7"/>
      <c r="K1083" s="7" t="str">
        <f>IFERROR(__xludf.DUMMYFUNCTION("""COMPUTED_VALUE"""),"No job type data")</f>
        <v>No job type data</v>
      </c>
      <c r="L1083" s="7" t="str">
        <f>IFERROR(__xludf.DUMMYFUNCTION("""COMPUTED_VALUE"""),"None")</f>
        <v>None</v>
      </c>
      <c r="M1083" s="7"/>
      <c r="N1083" s="7"/>
      <c r="O1083" s="7"/>
    </row>
    <row r="1084">
      <c r="A1084" s="29">
        <f>IFERROR(__xludf.DUMMYFUNCTION("""COMPUTED_VALUE"""),1080.0)</f>
        <v>1080</v>
      </c>
      <c r="B1084" s="7" t="str">
        <f>IFERROR(__xludf.DUMMYFUNCTION("""COMPUTED_VALUE"""),"Vor mehr als 30 Tagen")</f>
        <v>Vor mehr als 30 Tagen</v>
      </c>
      <c r="C1084" s="7" t="str">
        <f>IFERROR(__xludf.DUMMYFUNCTION("""COMPUTED_VALUE"""),"Praktikum IT (m/w/d) Data Science / Informatik")</f>
        <v>Praktikum IT (m/w/d) Data Science / Informatik</v>
      </c>
      <c r="D1084" s="7" t="str">
        <f>IFERROR(__xludf.DUMMYFUNCTION("""COMPUTED_VALUE"""),"Sindelfingen")</f>
        <v>Sindelfingen</v>
      </c>
      <c r="E1084" s="7" t="str">
        <f>IFERROR(__xludf.DUMMYFUNCTION("""COMPUTED_VALUE"""),"Campusjäger GmbH")</f>
        <v>Campusjäger GmbH</v>
      </c>
      <c r="F1084" s="7" t="str">
        <f>IFERROR(__xludf.DUMMYFUNCTION("""COMPUTED_VALUE"""),"None")</f>
        <v>None</v>
      </c>
      <c r="G1084" s="7" t="str">
        <f>IFERROR(__xludf.DUMMYFUNCTION("""COMPUTED_VALUE"""),"No salary data")</f>
        <v>No salary data</v>
      </c>
      <c r="H1084" s="7" t="str">
        <f>IFERROR(__xludf.DUMMYFUNCTION("""COMPUTED_VALUE"""),"No salary data")</f>
        <v>No salary data</v>
      </c>
      <c r="I1084" s="7" t="str">
        <f>IFERROR(__xludf.DUMMYFUNCTION("""COMPUTED_VALUE"""),"No salary data")</f>
        <v>No salary data</v>
      </c>
      <c r="J1084" s="7" t="str">
        <f>IFERROR(__xludf.DUMMYFUNCTION("""COMPUTED_VALUE"""),"SQL")</f>
        <v>SQL</v>
      </c>
      <c r="K1084" s="7" t="str">
        <f>IFERROR(__xludf.DUMMYFUNCTION("""COMPUTED_VALUE"""),"No job type data")</f>
        <v>No job type data</v>
      </c>
      <c r="L1084" s="7" t="str">
        <f>IFERROR(__xludf.DUMMYFUNCTION("""COMPUTED_VALUE"""),"4,8")</f>
        <v>4,8</v>
      </c>
      <c r="M1084" s="7"/>
      <c r="N1084" s="7"/>
      <c r="O1084" s="7"/>
    </row>
    <row r="1085">
      <c r="A1085" s="29">
        <f>IFERROR(__xludf.DUMMYFUNCTION("""COMPUTED_VALUE"""),1081.0)</f>
        <v>1081</v>
      </c>
      <c r="B1085" s="7" t="str">
        <f>IFERROR(__xludf.DUMMYFUNCTION("""COMPUTED_VALUE"""),"Gerade geschaltet")</f>
        <v>Gerade geschaltet</v>
      </c>
      <c r="C1085" s="7" t="str">
        <f>IFERROR(__xludf.DUMMYFUNCTION("""COMPUTED_VALUE"""),"Wealth Management Middle Officer")</f>
        <v>Wealth Management Middle Officer</v>
      </c>
      <c r="D1085" s="7" t="str">
        <f>IFERROR(__xludf.DUMMYFUNCTION("""COMPUTED_VALUE"""),"Frankfurt am Main")</f>
        <v>Frankfurt am Main</v>
      </c>
      <c r="E1085" s="7" t="str">
        <f>IFERROR(__xludf.DUMMYFUNCTION("""COMPUTED_VALUE"""),"Selby Jennings")</f>
        <v>Selby Jennings</v>
      </c>
      <c r="F1085" s="7" t="str">
        <f>IFERROR(__xludf.DUMMYFUNCTION("""COMPUTED_VALUE"""),"None")</f>
        <v>None</v>
      </c>
      <c r="G1085" s="7" t="str">
        <f>IFERROR(__xludf.DUMMYFUNCTION("""COMPUTED_VALUE"""),"No salary data")</f>
        <v>No salary data</v>
      </c>
      <c r="H1085" s="7" t="str">
        <f>IFERROR(__xludf.DUMMYFUNCTION("""COMPUTED_VALUE"""),"No salary data")</f>
        <v>No salary data</v>
      </c>
      <c r="I1085" s="7" t="str">
        <f>IFERROR(__xludf.DUMMYFUNCTION("""COMPUTED_VALUE"""),"No salary data")</f>
        <v>No salary data</v>
      </c>
      <c r="J1085" s="7" t="str">
        <f>IFERROR(__xludf.DUMMYFUNCTION("""COMPUTED_VALUE"""),"Excel")</f>
        <v>Excel</v>
      </c>
      <c r="K1085" s="7" t="str">
        <f>IFERROR(__xludf.DUMMYFUNCTION("""COMPUTED_VALUE"""),"Contract")</f>
        <v>Contract</v>
      </c>
      <c r="L1085" s="7" t="str">
        <f>IFERROR(__xludf.DUMMYFUNCTION("""COMPUTED_VALUE"""),"None")</f>
        <v>None</v>
      </c>
      <c r="M1085" s="7"/>
      <c r="N1085" s="7"/>
      <c r="O1085" s="7"/>
    </row>
    <row r="1086">
      <c r="A1086" s="29">
        <f>IFERROR(__xludf.DUMMYFUNCTION("""COMPUTED_VALUE"""),1082.0)</f>
        <v>1082</v>
      </c>
      <c r="B1086" s="7" t="str">
        <f>IFERROR(__xludf.DUMMYFUNCTION("""COMPUTED_VALUE"""),"vor 6 Tagen")</f>
        <v>vor 6 Tagen</v>
      </c>
      <c r="C1086" s="7" t="str">
        <f>IFERROR(__xludf.DUMMYFUNCTION("""COMPUTED_VALUE"""),"Informatiker/ Mathematiker (m/w/d) im Bereich Data Science")</f>
        <v>Informatiker/ Mathematiker (m/w/d) im Bereich Data Science</v>
      </c>
      <c r="D1086" s="7" t="str">
        <f>IFERROR(__xludf.DUMMYFUNCTION("""COMPUTED_VALUE"""),"Heidelberg")</f>
        <v>Heidelberg</v>
      </c>
      <c r="E1086" s="7" t="str">
        <f>IFERROR(__xludf.DUMMYFUNCTION("""COMPUTED_VALUE"""),"univativ GmbH")</f>
        <v>univativ GmbH</v>
      </c>
      <c r="F1086" s="7" t="str">
        <f>IFERROR(__xludf.DUMMYFUNCTION("""COMPUTED_VALUE"""),"None")</f>
        <v>None</v>
      </c>
      <c r="G1086" s="7" t="str">
        <f>IFERROR(__xludf.DUMMYFUNCTION("""COMPUTED_VALUE"""),"No salary data")</f>
        <v>No salary data</v>
      </c>
      <c r="H1086" s="7" t="str">
        <f>IFERROR(__xludf.DUMMYFUNCTION("""COMPUTED_VALUE"""),"No salary data")</f>
        <v>No salary data</v>
      </c>
      <c r="I1086" s="7" t="str">
        <f>IFERROR(__xludf.DUMMYFUNCTION("""COMPUTED_VALUE"""),"No salary data")</f>
        <v>No salary data</v>
      </c>
      <c r="J1086" s="7"/>
      <c r="K1086" s="7" t="str">
        <f>IFERROR(__xludf.DUMMYFUNCTION("""COMPUTED_VALUE"""),"No job type data")</f>
        <v>No job type data</v>
      </c>
      <c r="L1086" s="7" t="str">
        <f>IFERROR(__xludf.DUMMYFUNCTION("""COMPUTED_VALUE"""),"4,4")</f>
        <v>4,4</v>
      </c>
      <c r="M1086" s="7"/>
      <c r="N1086" s="7"/>
      <c r="O1086" s="7"/>
    </row>
    <row r="1087">
      <c r="A1087" s="29">
        <f>IFERROR(__xludf.DUMMYFUNCTION("""COMPUTED_VALUE"""),1083.0)</f>
        <v>1083</v>
      </c>
      <c r="B1087" s="7" t="str">
        <f>IFERROR(__xludf.DUMMYFUNCTION("""COMPUTED_VALUE"""),"vor 14 Tagen")</f>
        <v>vor 14 Tagen</v>
      </c>
      <c r="C1087" s="7" t="str">
        <f>IFERROR(__xludf.DUMMYFUNCTION("""COMPUTED_VALUE"""),"Data Engineer (m/w/d)")</f>
        <v>Data Engineer (m/w/d)</v>
      </c>
      <c r="D1087" s="7" t="str">
        <f>IFERROR(__xludf.DUMMYFUNCTION("""COMPUTED_VALUE"""),"Pforzheim")</f>
        <v>Pforzheim</v>
      </c>
      <c r="E1087" s="7" t="str">
        <f>IFERROR(__xludf.DUMMYFUNCTION("""COMPUTED_VALUE"""),"BRUNO BADER GmbH + Co. KG")</f>
        <v>BRUNO BADER GmbH + Co. KG</v>
      </c>
      <c r="F1087" s="7" t="str">
        <f>IFERROR(__xludf.DUMMYFUNCTION("""COMPUTED_VALUE"""),"None")</f>
        <v>None</v>
      </c>
      <c r="G1087" s="7" t="str">
        <f>IFERROR(__xludf.DUMMYFUNCTION("""COMPUTED_VALUE"""),"No salary data")</f>
        <v>No salary data</v>
      </c>
      <c r="H1087" s="7" t="str">
        <f>IFERROR(__xludf.DUMMYFUNCTION("""COMPUTED_VALUE"""),"No salary data")</f>
        <v>No salary data</v>
      </c>
      <c r="I1087" s="7" t="str">
        <f>IFERROR(__xludf.DUMMYFUNCTION("""COMPUTED_VALUE"""),"No salary data")</f>
        <v>No salary data</v>
      </c>
      <c r="J1087" s="7" t="str">
        <f>IFERROR(__xludf.DUMMYFUNCTION("""COMPUTED_VALUE"""),"SQL")</f>
        <v>SQL</v>
      </c>
      <c r="K1087" s="7" t="str">
        <f>IFERROR(__xludf.DUMMYFUNCTION("""COMPUTED_VALUE"""),"No job type data")</f>
        <v>No job type data</v>
      </c>
      <c r="L1087" s="7" t="str">
        <f>IFERROR(__xludf.DUMMYFUNCTION("""COMPUTED_VALUE"""),"None")</f>
        <v>None</v>
      </c>
      <c r="M1087" s="7"/>
      <c r="N1087" s="7"/>
      <c r="O1087" s="7"/>
    </row>
    <row r="1088">
      <c r="A1088" s="29">
        <f>IFERROR(__xludf.DUMMYFUNCTION("""COMPUTED_VALUE"""),1084.0)</f>
        <v>1084</v>
      </c>
      <c r="B1088" s="7" t="str">
        <f>IFERROR(__xludf.DUMMYFUNCTION("""COMPUTED_VALUE"""),"vor 2 Tagen")</f>
        <v>vor 2 Tagen</v>
      </c>
      <c r="C1088" s="7" t="str">
        <f>IFERROR(__xludf.DUMMYFUNCTION("""COMPUTED_VALUE"""),"Consultant Schwerpunkt Smart City (m/w/d)")</f>
        <v>Consultant Schwerpunkt Smart City (m/w/d)</v>
      </c>
      <c r="D1088" s="7" t="str">
        <f>IFERROR(__xludf.DUMMYFUNCTION("""COMPUTED_VALUE"""),"Ottobrunn")</f>
        <v>Ottobrunn</v>
      </c>
      <c r="E1088" s="7" t="str">
        <f>IFERROR(__xludf.DUMMYFUNCTION("""COMPUTED_VALUE"""),"Ing. Punzenberger COPA-DATA GmbH")</f>
        <v>Ing. Punzenberger COPA-DATA GmbH</v>
      </c>
      <c r="F1088" s="7" t="str">
        <f>IFERROR(__xludf.DUMMYFUNCTION("""COMPUTED_VALUE"""),"None")</f>
        <v>None</v>
      </c>
      <c r="G1088" s="7" t="str">
        <f>IFERROR(__xludf.DUMMYFUNCTION("""COMPUTED_VALUE"""),"No salary data")</f>
        <v>No salary data</v>
      </c>
      <c r="H1088" s="7" t="str">
        <f>IFERROR(__xludf.DUMMYFUNCTION("""COMPUTED_VALUE"""),"No salary data")</f>
        <v>No salary data</v>
      </c>
      <c r="I1088" s="7" t="str">
        <f>IFERROR(__xludf.DUMMYFUNCTION("""COMPUTED_VALUE"""),"No salary data")</f>
        <v>No salary data</v>
      </c>
      <c r="J1088" s="7" t="str">
        <f>IFERROR(__xludf.DUMMYFUNCTION("""COMPUTED_VALUE"""),"Git")</f>
        <v>Git</v>
      </c>
      <c r="K1088" s="7" t="str">
        <f>IFERROR(__xludf.DUMMYFUNCTION("""COMPUTED_VALUE"""),"No job type data")</f>
        <v>No job type data</v>
      </c>
      <c r="L1088" s="7" t="str">
        <f>IFERROR(__xludf.DUMMYFUNCTION("""COMPUTED_VALUE"""),"None")</f>
        <v>None</v>
      </c>
      <c r="M1088" s="7"/>
      <c r="N1088" s="7"/>
      <c r="O1088" s="7"/>
    </row>
    <row r="1089">
      <c r="A1089" s="29">
        <f>IFERROR(__xludf.DUMMYFUNCTION("""COMPUTED_VALUE"""),1085.0)</f>
        <v>1085</v>
      </c>
      <c r="B1089" s="7" t="str">
        <f>IFERROR(__xludf.DUMMYFUNCTION("""COMPUTED_VALUE"""),"Heute")</f>
        <v>Heute</v>
      </c>
      <c r="C1089" s="7" t="str">
        <f>IFERROR(__xludf.DUMMYFUNCTION("""COMPUTED_VALUE"""),"Business Analyst (m/w/d) Agiles Anforderungsmanagement")</f>
        <v>Business Analyst (m/w/d) Agiles Anforderungsmanagement</v>
      </c>
      <c r="D1089" s="7" t="str">
        <f>IFERROR(__xludf.DUMMYFUNCTION("""COMPUTED_VALUE"""),"Nürnberg")</f>
        <v>Nürnberg</v>
      </c>
      <c r="E1089" s="7" t="str">
        <f>IFERROR(__xludf.DUMMYFUNCTION("""COMPUTED_VALUE"""),"MID GmbH")</f>
        <v>MID GmbH</v>
      </c>
      <c r="F1089" s="7" t="str">
        <f>IFERROR(__xludf.DUMMYFUNCTION("""COMPUTED_VALUE"""),"None")</f>
        <v>None</v>
      </c>
      <c r="G1089" s="7" t="str">
        <f>IFERROR(__xludf.DUMMYFUNCTION("""COMPUTED_VALUE"""),"No salary data")</f>
        <v>No salary data</v>
      </c>
      <c r="H1089" s="7" t="str">
        <f>IFERROR(__xludf.DUMMYFUNCTION("""COMPUTED_VALUE"""),"No salary data")</f>
        <v>No salary data</v>
      </c>
      <c r="I1089" s="7" t="str">
        <f>IFERROR(__xludf.DUMMYFUNCTION("""COMPUTED_VALUE"""),"No salary data")</f>
        <v>No salary data</v>
      </c>
      <c r="J1089" s="7" t="str">
        <f>IFERROR(__xludf.DUMMYFUNCTION("""COMPUTED_VALUE"""),"Git, Agile, Jira")</f>
        <v>Git, Agile, Jira</v>
      </c>
      <c r="K1089" s="7" t="str">
        <f>IFERROR(__xludf.DUMMYFUNCTION("""COMPUTED_VALUE"""),"No job type data")</f>
        <v>No job type data</v>
      </c>
      <c r="L1089" s="7" t="str">
        <f>IFERROR(__xludf.DUMMYFUNCTION("""COMPUTED_VALUE"""),"4,0")</f>
        <v>4,0</v>
      </c>
      <c r="M1089" s="7"/>
      <c r="N1089" s="7"/>
      <c r="O1089" s="7"/>
    </row>
    <row r="1090">
      <c r="A1090" s="29">
        <f>IFERROR(__xludf.DUMMYFUNCTION("""COMPUTED_VALUE"""),1086.0)</f>
        <v>1086</v>
      </c>
      <c r="B1090" s="7" t="str">
        <f>IFERROR(__xludf.DUMMYFUNCTION("""COMPUTED_VALUE"""),"Vor mehr als 30 Tagen")</f>
        <v>Vor mehr als 30 Tagen</v>
      </c>
      <c r="C1090" s="7" t="str">
        <f>IFERROR(__xludf.DUMMYFUNCTION("""COMPUTED_VALUE"""),"Workforce Management Specialist (f/m/d)")</f>
        <v>Workforce Management Specialist (f/m/d)</v>
      </c>
      <c r="D1090" s="7" t="str">
        <f>IFERROR(__xludf.DUMMYFUNCTION("""COMPUTED_VALUE"""),"Berlin")</f>
        <v>Berlin</v>
      </c>
      <c r="E1090" s="7" t="str">
        <f>IFERROR(__xludf.DUMMYFUNCTION("""COMPUTED_VALUE"""),"Vivid Money GmbH")</f>
        <v>Vivid Money GmbH</v>
      </c>
      <c r="F1090" s="7" t="str">
        <f>IFERROR(__xludf.DUMMYFUNCTION("""COMPUTED_VALUE"""),"2,000 € - 2,500 € pro Monat")</f>
        <v>2,000 € - 2,500 € pro Monat</v>
      </c>
      <c r="G1090" s="7">
        <f>IFERROR(__xludf.DUMMYFUNCTION("""COMPUTED_VALUE"""),2250.0)</f>
        <v>2250</v>
      </c>
      <c r="H1090" s="7" t="str">
        <f>IFERROR(__xludf.DUMMYFUNCTION("""COMPUTED_VALUE"""),"Monat")</f>
        <v>Monat</v>
      </c>
      <c r="I1090" s="7">
        <f>IFERROR(__xludf.DUMMYFUNCTION("""COMPUTED_VALUE"""),27000.0)</f>
        <v>27000</v>
      </c>
      <c r="J1090" s="7" t="str">
        <f>IFERROR(__xludf.DUMMYFUNCTION("""COMPUTED_VALUE"""),"Excel, Git")</f>
        <v>Excel, Git</v>
      </c>
      <c r="K1090" s="7" t="str">
        <f>IFERROR(__xludf.DUMMYFUNCTION("""COMPUTED_VALUE"""),"Full-Time")</f>
        <v>Full-Time</v>
      </c>
      <c r="L1090" s="7" t="str">
        <f>IFERROR(__xludf.DUMMYFUNCTION("""COMPUTED_VALUE"""),"None")</f>
        <v>None</v>
      </c>
      <c r="M1090" s="7"/>
      <c r="N1090" s="7"/>
      <c r="O1090" s="7"/>
    </row>
    <row r="1091">
      <c r="A1091" s="29">
        <f>IFERROR(__xludf.DUMMYFUNCTION("""COMPUTED_VALUE"""),1087.0)</f>
        <v>1087</v>
      </c>
      <c r="B1091" s="7" t="str">
        <f>IFERROR(__xludf.DUMMYFUNCTION("""COMPUTED_VALUE"""),"vor 11 Tagen")</f>
        <v>vor 11 Tagen</v>
      </c>
      <c r="C1091" s="7" t="str">
        <f>IFERROR(__xludf.DUMMYFUNCTION("""COMPUTED_VALUE"""),"Wirtschaftsingenieur für Stammdatenmanagement (m/w/d) / Glob...")</f>
        <v>Wirtschaftsingenieur für Stammdatenmanagement (m/w/d) / Glob...</v>
      </c>
      <c r="D1091" s="7" t="str">
        <f>IFERROR(__xludf.DUMMYFUNCTION("""COMPUTED_VALUE"""),"Buseck")</f>
        <v>Buseck</v>
      </c>
      <c r="E1091" s="7" t="str">
        <f>IFERROR(__xludf.DUMMYFUNCTION("""COMPUTED_VALUE"""),"Alexander Binzel Schweisstechnik GmbH &amp; Co. KG")</f>
        <v>Alexander Binzel Schweisstechnik GmbH &amp; Co. KG</v>
      </c>
      <c r="F1091" s="7" t="str">
        <f>IFERROR(__xludf.DUMMYFUNCTION("""COMPUTED_VALUE"""),"None")</f>
        <v>None</v>
      </c>
      <c r="G1091" s="7" t="str">
        <f>IFERROR(__xludf.DUMMYFUNCTION("""COMPUTED_VALUE"""),"No salary data")</f>
        <v>No salary data</v>
      </c>
      <c r="H1091" s="7" t="str">
        <f>IFERROR(__xludf.DUMMYFUNCTION("""COMPUTED_VALUE"""),"No salary data")</f>
        <v>No salary data</v>
      </c>
      <c r="I1091" s="7" t="str">
        <f>IFERROR(__xludf.DUMMYFUNCTION("""COMPUTED_VALUE"""),"No salary data")</f>
        <v>No salary data</v>
      </c>
      <c r="J1091" s="7"/>
      <c r="K1091" s="7" t="str">
        <f>IFERROR(__xludf.DUMMYFUNCTION("""COMPUTED_VALUE"""),"No job type data")</f>
        <v>No job type data</v>
      </c>
      <c r="L1091" s="7" t="str">
        <f>IFERROR(__xludf.DUMMYFUNCTION("""COMPUTED_VALUE"""),"None")</f>
        <v>None</v>
      </c>
      <c r="M1091" s="7"/>
      <c r="N1091" s="7"/>
      <c r="O1091" s="7"/>
    </row>
    <row r="1092">
      <c r="A1092" s="29">
        <f>IFERROR(__xludf.DUMMYFUNCTION("""COMPUTED_VALUE"""),1088.0)</f>
        <v>1088</v>
      </c>
      <c r="B1092" s="7" t="str">
        <f>IFERROR(__xludf.DUMMYFUNCTION("""COMPUTED_VALUE"""),"vor 9 Tagen")</f>
        <v>vor 9 Tagen</v>
      </c>
      <c r="C1092" s="7" t="str">
        <f>IFERROR(__xludf.DUMMYFUNCTION("""COMPUTED_VALUE"""),"Consultant (w/m/d) Business Analyse und Geschäftsprozessmana...")</f>
        <v>Consultant (w/m/d) Business Analyse und Geschäftsprozessmana...</v>
      </c>
      <c r="D1092" s="7" t="str">
        <f>IFERROR(__xludf.DUMMYFUNCTION("""COMPUTED_VALUE"""),"München")</f>
        <v>München</v>
      </c>
      <c r="E1092" s="7" t="str">
        <f>IFERROR(__xludf.DUMMYFUNCTION("""COMPUTED_VALUE"""),"MID GmbH")</f>
        <v>MID GmbH</v>
      </c>
      <c r="F1092" s="7" t="str">
        <f>IFERROR(__xludf.DUMMYFUNCTION("""COMPUTED_VALUE"""),"None")</f>
        <v>None</v>
      </c>
      <c r="G1092" s="7" t="str">
        <f>IFERROR(__xludf.DUMMYFUNCTION("""COMPUTED_VALUE"""),"No salary data")</f>
        <v>No salary data</v>
      </c>
      <c r="H1092" s="7" t="str">
        <f>IFERROR(__xludf.DUMMYFUNCTION("""COMPUTED_VALUE"""),"No salary data")</f>
        <v>No salary data</v>
      </c>
      <c r="I1092" s="7" t="str">
        <f>IFERROR(__xludf.DUMMYFUNCTION("""COMPUTED_VALUE"""),"No salary data")</f>
        <v>No salary data</v>
      </c>
      <c r="J1092" s="7" t="str">
        <f>IFERROR(__xludf.DUMMYFUNCTION("""COMPUTED_VALUE"""),"Git, Agile")</f>
        <v>Git, Agile</v>
      </c>
      <c r="K1092" s="7" t="str">
        <f>IFERROR(__xludf.DUMMYFUNCTION("""COMPUTED_VALUE"""),"No job type data")</f>
        <v>No job type data</v>
      </c>
      <c r="L1092" s="7" t="str">
        <f>IFERROR(__xludf.DUMMYFUNCTION("""COMPUTED_VALUE"""),"4,0")</f>
        <v>4,0</v>
      </c>
      <c r="M1092" s="7"/>
      <c r="N1092" s="7"/>
      <c r="O1092" s="7"/>
    </row>
    <row r="1093">
      <c r="A1093" s="29">
        <f>IFERROR(__xludf.DUMMYFUNCTION("""COMPUTED_VALUE"""),1089.0)</f>
        <v>1089</v>
      </c>
      <c r="B1093" s="7" t="str">
        <f>IFERROR(__xludf.DUMMYFUNCTION("""COMPUTED_VALUE"""),"vor 3 Tagen")</f>
        <v>vor 3 Tagen</v>
      </c>
      <c r="C1093" s="7" t="str">
        <f>IFERROR(__xludf.DUMMYFUNCTION("""COMPUTED_VALUE"""),"Program Manager (m/w/d)")</f>
        <v>Program Manager (m/w/d)</v>
      </c>
      <c r="D1093" s="7" t="str">
        <f>IFERROR(__xludf.DUMMYFUNCTION("""COMPUTED_VALUE"""),"Düsseldorf")</f>
        <v>Düsseldorf</v>
      </c>
      <c r="E1093" s="7" t="str">
        <f>IFERROR(__xludf.DUMMYFUNCTION("""COMPUTED_VALUE"""),"Conexon GmbH")</f>
        <v>Conexon GmbH</v>
      </c>
      <c r="F1093" s="7" t="str">
        <f>IFERROR(__xludf.DUMMYFUNCTION("""COMPUTED_VALUE"""),"None")</f>
        <v>None</v>
      </c>
      <c r="G1093" s="7" t="str">
        <f>IFERROR(__xludf.DUMMYFUNCTION("""COMPUTED_VALUE"""),"No salary data")</f>
        <v>No salary data</v>
      </c>
      <c r="H1093" s="7" t="str">
        <f>IFERROR(__xludf.DUMMYFUNCTION("""COMPUTED_VALUE"""),"No salary data")</f>
        <v>No salary data</v>
      </c>
      <c r="I1093" s="7" t="str">
        <f>IFERROR(__xludf.DUMMYFUNCTION("""COMPUTED_VALUE"""),"No salary data")</f>
        <v>No salary data</v>
      </c>
      <c r="J1093" s="7" t="str">
        <f>IFERROR(__xludf.DUMMYFUNCTION("""COMPUTED_VALUE"""),"Tableau, Excel, Git, Agile")</f>
        <v>Tableau, Excel, Git, Agile</v>
      </c>
      <c r="K1093" s="7" t="str">
        <f>IFERROR(__xludf.DUMMYFUNCTION("""COMPUTED_VALUE"""),"No job type data")</f>
        <v>No job type data</v>
      </c>
      <c r="L1093" s="7" t="str">
        <f>IFERROR(__xludf.DUMMYFUNCTION("""COMPUTED_VALUE"""),"None")</f>
        <v>None</v>
      </c>
      <c r="M1093" s="7"/>
      <c r="N1093" s="7"/>
      <c r="O1093" s="7"/>
    </row>
    <row r="1094">
      <c r="A1094" s="29">
        <f>IFERROR(__xludf.DUMMYFUNCTION("""COMPUTED_VALUE"""),1090.0)</f>
        <v>1090</v>
      </c>
      <c r="B1094" s="7" t="str">
        <f>IFERROR(__xludf.DUMMYFUNCTION("""COMPUTED_VALUE"""),"Vor mehr als 30 Tagen")</f>
        <v>Vor mehr als 30 Tagen</v>
      </c>
      <c r="C1094" s="7" t="str">
        <f>IFERROR(__xludf.DUMMYFUNCTION("""COMPUTED_VALUE"""),"Duales Studium Wirtschaftsinformatik (B.Sc.)")</f>
        <v>Duales Studium Wirtschaftsinformatik (B.Sc.)</v>
      </c>
      <c r="D1094" s="7" t="str">
        <f>IFERROR(__xludf.DUMMYFUNCTION("""COMPUTED_VALUE"""),"Hamburg")</f>
        <v>Hamburg</v>
      </c>
      <c r="E1094" s="7" t="str">
        <f>IFERROR(__xludf.DUMMYFUNCTION("""COMPUTED_VALUE"""),"IUBH Duales Studium")</f>
        <v>IUBH Duales Studium</v>
      </c>
      <c r="F1094" s="7" t="str">
        <f>IFERROR(__xludf.DUMMYFUNCTION("""COMPUTED_VALUE"""),"None")</f>
        <v>None</v>
      </c>
      <c r="G1094" s="7" t="str">
        <f>IFERROR(__xludf.DUMMYFUNCTION("""COMPUTED_VALUE"""),"No salary data")</f>
        <v>No salary data</v>
      </c>
      <c r="H1094" s="7" t="str">
        <f>IFERROR(__xludf.DUMMYFUNCTION("""COMPUTED_VALUE"""),"No salary data")</f>
        <v>No salary data</v>
      </c>
      <c r="I1094" s="7" t="str">
        <f>IFERROR(__xludf.DUMMYFUNCTION("""COMPUTED_VALUE"""),"No salary data")</f>
        <v>No salary data</v>
      </c>
      <c r="J1094" s="7"/>
      <c r="K1094" s="7" t="str">
        <f>IFERROR(__xludf.DUMMYFUNCTION("""COMPUTED_VALUE"""),"No job type data")</f>
        <v>No job type data</v>
      </c>
      <c r="L1094" s="7" t="str">
        <f>IFERROR(__xludf.DUMMYFUNCTION("""COMPUTED_VALUE"""),"4,3")</f>
        <v>4,3</v>
      </c>
      <c r="M1094" s="7"/>
      <c r="N1094" s="7"/>
      <c r="O1094" s="7"/>
    </row>
    <row r="1095">
      <c r="A1095" s="29">
        <f>IFERROR(__xludf.DUMMYFUNCTION("""COMPUTED_VALUE"""),1091.0)</f>
        <v>1091</v>
      </c>
      <c r="B1095" s="7" t="str">
        <f>IFERROR(__xludf.DUMMYFUNCTION("""COMPUTED_VALUE"""),"vor 6 Tagen")</f>
        <v>vor 6 Tagen</v>
      </c>
      <c r="C1095" s="7" t="str">
        <f>IFERROR(__xludf.DUMMYFUNCTION("""COMPUTED_VALUE"""),"Informatiker/ Mathematiker (m/w/d) im Bereich Data Science")</f>
        <v>Informatiker/ Mathematiker (m/w/d) im Bereich Data Science</v>
      </c>
      <c r="D1095" s="7" t="str">
        <f>IFERROR(__xludf.DUMMYFUNCTION("""COMPUTED_VALUE"""),"Heidelberg")</f>
        <v>Heidelberg</v>
      </c>
      <c r="E1095" s="7" t="str">
        <f>IFERROR(__xludf.DUMMYFUNCTION("""COMPUTED_VALUE"""),"univativ GmbH")</f>
        <v>univativ GmbH</v>
      </c>
      <c r="F1095" s="7" t="str">
        <f>IFERROR(__xludf.DUMMYFUNCTION("""COMPUTED_VALUE"""),"None")</f>
        <v>None</v>
      </c>
      <c r="G1095" s="7" t="str">
        <f>IFERROR(__xludf.DUMMYFUNCTION("""COMPUTED_VALUE"""),"No salary data")</f>
        <v>No salary data</v>
      </c>
      <c r="H1095" s="7" t="str">
        <f>IFERROR(__xludf.DUMMYFUNCTION("""COMPUTED_VALUE"""),"No salary data")</f>
        <v>No salary data</v>
      </c>
      <c r="I1095" s="7" t="str">
        <f>IFERROR(__xludf.DUMMYFUNCTION("""COMPUTED_VALUE"""),"No salary data")</f>
        <v>No salary data</v>
      </c>
      <c r="J1095" s="7"/>
      <c r="K1095" s="7" t="str">
        <f>IFERROR(__xludf.DUMMYFUNCTION("""COMPUTED_VALUE"""),"No job type data")</f>
        <v>No job type data</v>
      </c>
      <c r="L1095" s="7" t="str">
        <f>IFERROR(__xludf.DUMMYFUNCTION("""COMPUTED_VALUE"""),"4,4")</f>
        <v>4,4</v>
      </c>
      <c r="M1095" s="7"/>
      <c r="N1095" s="7"/>
      <c r="O1095" s="7"/>
    </row>
    <row r="1096">
      <c r="A1096" s="29">
        <f>IFERROR(__xludf.DUMMYFUNCTION("""COMPUTED_VALUE"""),1092.0)</f>
        <v>1092</v>
      </c>
      <c r="B1096" s="7" t="str">
        <f>IFERROR(__xludf.DUMMYFUNCTION("""COMPUTED_VALUE"""),"vor 19 Tagen")</f>
        <v>vor 19 Tagen</v>
      </c>
      <c r="C1096" s="7" t="str">
        <f>IFERROR(__xludf.DUMMYFUNCTION("""COMPUTED_VALUE"""),"Data Scientist")</f>
        <v>Data Scientist</v>
      </c>
      <c r="D1096" s="7" t="str">
        <f>IFERROR(__xludf.DUMMYFUNCTION("""COMPUTED_VALUE"""),"Münster")</f>
        <v>Münster</v>
      </c>
      <c r="E1096" s="7" t="str">
        <f>IFERROR(__xludf.DUMMYFUNCTION("""COMPUTED_VALUE"""),"Brunel")</f>
        <v>Brunel</v>
      </c>
      <c r="F1096" s="7" t="str">
        <f>IFERROR(__xludf.DUMMYFUNCTION("""COMPUTED_VALUE"""),"None")</f>
        <v>None</v>
      </c>
      <c r="G1096" s="7" t="str">
        <f>IFERROR(__xludf.DUMMYFUNCTION("""COMPUTED_VALUE"""),"No salary data")</f>
        <v>No salary data</v>
      </c>
      <c r="H1096" s="7" t="str">
        <f>IFERROR(__xludf.DUMMYFUNCTION("""COMPUTED_VALUE"""),"No salary data")</f>
        <v>No salary data</v>
      </c>
      <c r="I1096" s="7" t="str">
        <f>IFERROR(__xludf.DUMMYFUNCTION("""COMPUTED_VALUE"""),"No salary data")</f>
        <v>No salary data</v>
      </c>
      <c r="J1096" s="7" t="str">
        <f>IFERROR(__xludf.DUMMYFUNCTION("""COMPUTED_VALUE"""),"Python, SQL")</f>
        <v>Python, SQL</v>
      </c>
      <c r="K1096" s="7" t="str">
        <f>IFERROR(__xludf.DUMMYFUNCTION("""COMPUTED_VALUE"""),"No job type data")</f>
        <v>No job type data</v>
      </c>
      <c r="L1096" s="7" t="str">
        <f>IFERROR(__xludf.DUMMYFUNCTION("""COMPUTED_VALUE"""),"3,9")</f>
        <v>3,9</v>
      </c>
      <c r="M1096" s="7"/>
      <c r="N1096" s="7"/>
      <c r="O1096" s="7"/>
    </row>
    <row r="1097">
      <c r="A1097" s="29">
        <f>IFERROR(__xludf.DUMMYFUNCTION("""COMPUTED_VALUE"""),1093.0)</f>
        <v>1093</v>
      </c>
      <c r="B1097" s="7" t="str">
        <f>IFERROR(__xludf.DUMMYFUNCTION("""COMPUTED_VALUE"""),"Vor mehr als 30 Tagen")</f>
        <v>Vor mehr als 30 Tagen</v>
      </c>
      <c r="C1097" s="7" t="str">
        <f>IFERROR(__xludf.DUMMYFUNCTION("""COMPUTED_VALUE"""),"Kaufmännischer Spezialist (m/w/d) mit Fokus Stammdatenpflege")</f>
        <v>Kaufmännischer Spezialist (m/w/d) mit Fokus Stammdatenpflege</v>
      </c>
      <c r="D1097" s="7" t="str">
        <f>IFERROR(__xludf.DUMMYFUNCTION("""COMPUTED_VALUE"""),"Fürstenwalde/Spree")</f>
        <v>Fürstenwalde/Spree</v>
      </c>
      <c r="E1097" s="7" t="str">
        <f>IFERROR(__xludf.DUMMYFUNCTION("""COMPUTED_VALUE"""),"Bonava Deutschland GmbH")</f>
        <v>Bonava Deutschland GmbH</v>
      </c>
      <c r="F1097" s="7" t="str">
        <f>IFERROR(__xludf.DUMMYFUNCTION("""COMPUTED_VALUE"""),"None")</f>
        <v>None</v>
      </c>
      <c r="G1097" s="7" t="str">
        <f>IFERROR(__xludf.DUMMYFUNCTION("""COMPUTED_VALUE"""),"No salary data")</f>
        <v>No salary data</v>
      </c>
      <c r="H1097" s="7" t="str">
        <f>IFERROR(__xludf.DUMMYFUNCTION("""COMPUTED_VALUE"""),"No salary data")</f>
        <v>No salary data</v>
      </c>
      <c r="I1097" s="7" t="str">
        <f>IFERROR(__xludf.DUMMYFUNCTION("""COMPUTED_VALUE"""),"No salary data")</f>
        <v>No salary data</v>
      </c>
      <c r="J1097" s="7" t="str">
        <f>IFERROR(__xludf.DUMMYFUNCTION("""COMPUTED_VALUE"""),"Excel")</f>
        <v>Excel</v>
      </c>
      <c r="K1097" s="7" t="str">
        <f>IFERROR(__xludf.DUMMYFUNCTION("""COMPUTED_VALUE"""),"No job type data")</f>
        <v>No job type data</v>
      </c>
      <c r="L1097" s="7" t="str">
        <f>IFERROR(__xludf.DUMMYFUNCTION("""COMPUTED_VALUE"""),"4,7")</f>
        <v>4,7</v>
      </c>
      <c r="M1097" s="7"/>
      <c r="N1097" s="7"/>
      <c r="O1097" s="7"/>
    </row>
    <row r="1098">
      <c r="A1098" s="29">
        <f>IFERROR(__xludf.DUMMYFUNCTION("""COMPUTED_VALUE"""),1094.0)</f>
        <v>1094</v>
      </c>
      <c r="B1098" s="7" t="str">
        <f>IFERROR(__xludf.DUMMYFUNCTION("""COMPUTED_VALUE"""),"vor 6 Tagen")</f>
        <v>vor 6 Tagen</v>
      </c>
      <c r="C1098" s="7" t="str">
        <f>IFERROR(__xludf.DUMMYFUNCTION("""COMPUTED_VALUE"""),"CRM E-Mail Marketing Manager/in")</f>
        <v>CRM E-Mail Marketing Manager/in</v>
      </c>
      <c r="D1098" s="7" t="str">
        <f>IFERROR(__xludf.DUMMYFUNCTION("""COMPUTED_VALUE"""),"Düsseldorf")</f>
        <v>Düsseldorf</v>
      </c>
      <c r="E1098" s="7" t="str">
        <f>IFERROR(__xludf.DUMMYFUNCTION("""COMPUTED_VALUE"""),"OLIVEDA Deutschland GmbH")</f>
        <v>OLIVEDA Deutschland GmbH</v>
      </c>
      <c r="F1098" s="7" t="str">
        <f>IFERROR(__xludf.DUMMYFUNCTION("""COMPUTED_VALUE"""),"None")</f>
        <v>None</v>
      </c>
      <c r="G1098" s="7" t="str">
        <f>IFERROR(__xludf.DUMMYFUNCTION("""COMPUTED_VALUE"""),"No salary data")</f>
        <v>No salary data</v>
      </c>
      <c r="H1098" s="7" t="str">
        <f>IFERROR(__xludf.DUMMYFUNCTION("""COMPUTED_VALUE"""),"No salary data")</f>
        <v>No salary data</v>
      </c>
      <c r="I1098" s="7" t="str">
        <f>IFERROR(__xludf.DUMMYFUNCTION("""COMPUTED_VALUE"""),"No salary data")</f>
        <v>No salary data</v>
      </c>
      <c r="J1098" s="7" t="str">
        <f>IFERROR(__xludf.DUMMYFUNCTION("""COMPUTED_VALUE"""),"Git")</f>
        <v>Git</v>
      </c>
      <c r="K1098" s="7" t="str">
        <f>IFERROR(__xludf.DUMMYFUNCTION("""COMPUTED_VALUE"""),"No job type data")</f>
        <v>No job type data</v>
      </c>
      <c r="L1098" s="7" t="str">
        <f>IFERROR(__xludf.DUMMYFUNCTION("""COMPUTED_VALUE"""),"None")</f>
        <v>None</v>
      </c>
      <c r="M1098" s="7"/>
      <c r="N1098" s="7"/>
      <c r="O1098" s="7"/>
    </row>
    <row r="1099">
      <c r="A1099" s="29">
        <f>IFERROR(__xludf.DUMMYFUNCTION("""COMPUTED_VALUE"""),1095.0)</f>
        <v>1095</v>
      </c>
      <c r="B1099" s="7" t="str">
        <f>IFERROR(__xludf.DUMMYFUNCTION("""COMPUTED_VALUE"""),"Vor mehr als 30 Tagen")</f>
        <v>Vor mehr als 30 Tagen</v>
      </c>
      <c r="C1099" s="7" t="str">
        <f>IFERROR(__xludf.DUMMYFUNCTION("""COMPUTED_VALUE"""),"Kaufmännischer Spezialist (m/w/d) mit Fokus Stammdatenpflege")</f>
        <v>Kaufmännischer Spezialist (m/w/d) mit Fokus Stammdatenpflege</v>
      </c>
      <c r="D1099" s="7" t="str">
        <f>IFERROR(__xludf.DUMMYFUNCTION("""COMPUTED_VALUE"""),"Fürstenwalde/Spree")</f>
        <v>Fürstenwalde/Spree</v>
      </c>
      <c r="E1099" s="7" t="str">
        <f>IFERROR(__xludf.DUMMYFUNCTION("""COMPUTED_VALUE"""),"Bonava Deutschland GmbH")</f>
        <v>Bonava Deutschland GmbH</v>
      </c>
      <c r="F1099" s="7" t="str">
        <f>IFERROR(__xludf.DUMMYFUNCTION("""COMPUTED_VALUE"""),"None")</f>
        <v>None</v>
      </c>
      <c r="G1099" s="7" t="str">
        <f>IFERROR(__xludf.DUMMYFUNCTION("""COMPUTED_VALUE"""),"No salary data")</f>
        <v>No salary data</v>
      </c>
      <c r="H1099" s="7" t="str">
        <f>IFERROR(__xludf.DUMMYFUNCTION("""COMPUTED_VALUE"""),"No salary data")</f>
        <v>No salary data</v>
      </c>
      <c r="I1099" s="7" t="str">
        <f>IFERROR(__xludf.DUMMYFUNCTION("""COMPUTED_VALUE"""),"No salary data")</f>
        <v>No salary data</v>
      </c>
      <c r="J1099" s="7" t="str">
        <f>IFERROR(__xludf.DUMMYFUNCTION("""COMPUTED_VALUE"""),"Excel")</f>
        <v>Excel</v>
      </c>
      <c r="K1099" s="7" t="str">
        <f>IFERROR(__xludf.DUMMYFUNCTION("""COMPUTED_VALUE"""),"No job type data")</f>
        <v>No job type data</v>
      </c>
      <c r="L1099" s="7" t="str">
        <f>IFERROR(__xludf.DUMMYFUNCTION("""COMPUTED_VALUE"""),"4,7")</f>
        <v>4,7</v>
      </c>
      <c r="M1099" s="7"/>
      <c r="N1099" s="7"/>
      <c r="O1099" s="7"/>
    </row>
    <row r="1100">
      <c r="A1100" s="29">
        <f>IFERROR(__xludf.DUMMYFUNCTION("""COMPUTED_VALUE"""),1096.0)</f>
        <v>1096</v>
      </c>
      <c r="B1100" s="7" t="str">
        <f>IFERROR(__xludf.DUMMYFUNCTION("""COMPUTED_VALUE"""),"vor 2 Tagen")</f>
        <v>vor 2 Tagen</v>
      </c>
      <c r="C1100" s="7" t="str">
        <f>IFERROR(__xludf.DUMMYFUNCTION("""COMPUTED_VALUE"""),"Data Scientists (m/w/d) für KI/ML in Teilzeit - Videointervi...")</f>
        <v>Data Scientists (m/w/d) für KI/ML in Teilzeit - Videointervi...</v>
      </c>
      <c r="D1100" s="7" t="str">
        <f>IFERROR(__xludf.DUMMYFUNCTION("""COMPUTED_VALUE"""),"München")</f>
        <v>München</v>
      </c>
      <c r="E1100" s="7" t="str">
        <f>IFERROR(__xludf.DUMMYFUNCTION("""COMPUTED_VALUE"""),"Fiducia &amp; GAD IT AG")</f>
        <v>Fiducia &amp; GAD IT AG</v>
      </c>
      <c r="F1100" s="7" t="str">
        <f>IFERROR(__xludf.DUMMYFUNCTION("""COMPUTED_VALUE"""),"None")</f>
        <v>None</v>
      </c>
      <c r="G1100" s="7" t="str">
        <f>IFERROR(__xludf.DUMMYFUNCTION("""COMPUTED_VALUE"""),"No salary data")</f>
        <v>No salary data</v>
      </c>
      <c r="H1100" s="7" t="str">
        <f>IFERROR(__xludf.DUMMYFUNCTION("""COMPUTED_VALUE"""),"No salary data")</f>
        <v>No salary data</v>
      </c>
      <c r="I1100" s="7" t="str">
        <f>IFERROR(__xludf.DUMMYFUNCTION("""COMPUTED_VALUE"""),"No salary data")</f>
        <v>No salary data</v>
      </c>
      <c r="J1100" s="7" t="str">
        <f>IFERROR(__xludf.DUMMYFUNCTION("""COMPUTED_VALUE"""),"Python, SQL, Machine Learning, Agile")</f>
        <v>Python, SQL, Machine Learning, Agile</v>
      </c>
      <c r="K1100" s="7" t="str">
        <f>IFERROR(__xludf.DUMMYFUNCTION("""COMPUTED_VALUE"""),"No job type data")</f>
        <v>No job type data</v>
      </c>
      <c r="L1100" s="7" t="str">
        <f>IFERROR(__xludf.DUMMYFUNCTION("""COMPUTED_VALUE"""),"None")</f>
        <v>None</v>
      </c>
      <c r="M1100" s="7"/>
      <c r="N1100" s="7"/>
      <c r="O1100" s="7"/>
    </row>
    <row r="1101">
      <c r="A1101" s="29">
        <f>IFERROR(__xludf.DUMMYFUNCTION("""COMPUTED_VALUE"""),1097.0)</f>
        <v>1097</v>
      </c>
      <c r="B1101" s="7" t="str">
        <f>IFERROR(__xludf.DUMMYFUNCTION("""COMPUTED_VALUE"""),"vor 3 Tagen")</f>
        <v>vor 3 Tagen</v>
      </c>
      <c r="C1101" s="7" t="str">
        <f>IFERROR(__xludf.DUMMYFUNCTION("""COMPUTED_VALUE"""),"Data Scientist, Schwerpunkt Data Warehouse (m/w/d)")</f>
        <v>Data Scientist, Schwerpunkt Data Warehouse (m/w/d)</v>
      </c>
      <c r="D1101" s="7" t="str">
        <f>IFERROR(__xludf.DUMMYFUNCTION("""COMPUTED_VALUE"""),"Köln")</f>
        <v>Köln</v>
      </c>
      <c r="E1101" s="7" t="str">
        <f>IFERROR(__xludf.DUMMYFUNCTION("""COMPUTED_VALUE"""),"- BG ETEM - Berufsgenossenschaft Energie Textil Elektro Medienerzeugnisse")</f>
        <v>- BG ETEM - Berufsgenossenschaft Energie Textil Elektro Medienerzeugnisse</v>
      </c>
      <c r="F1101" s="7" t="str">
        <f>IFERROR(__xludf.DUMMYFUNCTION("""COMPUTED_VALUE"""),"None")</f>
        <v>None</v>
      </c>
      <c r="G1101" s="7" t="str">
        <f>IFERROR(__xludf.DUMMYFUNCTION("""COMPUTED_VALUE"""),"No salary data")</f>
        <v>No salary data</v>
      </c>
      <c r="H1101" s="7" t="str">
        <f>IFERROR(__xludf.DUMMYFUNCTION("""COMPUTED_VALUE"""),"No salary data")</f>
        <v>No salary data</v>
      </c>
      <c r="I1101" s="7" t="str">
        <f>IFERROR(__xludf.DUMMYFUNCTION("""COMPUTED_VALUE"""),"No salary data")</f>
        <v>No salary data</v>
      </c>
      <c r="J1101" s="7"/>
      <c r="K1101" s="7" t="str">
        <f>IFERROR(__xludf.DUMMYFUNCTION("""COMPUTED_VALUE"""),"No job type data")</f>
        <v>No job type data</v>
      </c>
      <c r="L1101" s="7" t="str">
        <f>IFERROR(__xludf.DUMMYFUNCTION("""COMPUTED_VALUE"""),"None")</f>
        <v>None</v>
      </c>
      <c r="M1101" s="7"/>
      <c r="N1101" s="7"/>
      <c r="O1101" s="7"/>
    </row>
    <row r="1102">
      <c r="A1102" s="29">
        <f>IFERROR(__xludf.DUMMYFUNCTION("""COMPUTED_VALUE"""),1098.0)</f>
        <v>1098</v>
      </c>
      <c r="B1102" s="7" t="str">
        <f>IFERROR(__xludf.DUMMYFUNCTION("""COMPUTED_VALUE"""),"vor 4 Tagen")</f>
        <v>vor 4 Tagen</v>
      </c>
      <c r="C1102" s="7" t="str">
        <f>IFERROR(__xludf.DUMMYFUNCTION("""COMPUTED_VALUE"""),"Data Scientist, Schwerpunkt Data Warehouse (m/w/d)")</f>
        <v>Data Scientist, Schwerpunkt Data Warehouse (m/w/d)</v>
      </c>
      <c r="D1102" s="7" t="str">
        <f>IFERROR(__xludf.DUMMYFUNCTION("""COMPUTED_VALUE"""),"Köln")</f>
        <v>Köln</v>
      </c>
      <c r="E1102" s="7" t="str">
        <f>IFERROR(__xludf.DUMMYFUNCTION("""COMPUTED_VALUE"""),"- BG ETEM - Berufsgenossenschaft Energie Textil Elektro Medienerzeugnisse")</f>
        <v>- BG ETEM - Berufsgenossenschaft Energie Textil Elektro Medienerzeugnisse</v>
      </c>
      <c r="F1102" s="7" t="str">
        <f>IFERROR(__xludf.DUMMYFUNCTION("""COMPUTED_VALUE"""),"None")</f>
        <v>None</v>
      </c>
      <c r="G1102" s="7" t="str">
        <f>IFERROR(__xludf.DUMMYFUNCTION("""COMPUTED_VALUE"""),"No salary data")</f>
        <v>No salary data</v>
      </c>
      <c r="H1102" s="7" t="str">
        <f>IFERROR(__xludf.DUMMYFUNCTION("""COMPUTED_VALUE"""),"No salary data")</f>
        <v>No salary data</v>
      </c>
      <c r="I1102" s="7" t="str">
        <f>IFERROR(__xludf.DUMMYFUNCTION("""COMPUTED_VALUE"""),"No salary data")</f>
        <v>No salary data</v>
      </c>
      <c r="J1102" s="7"/>
      <c r="K1102" s="7" t="str">
        <f>IFERROR(__xludf.DUMMYFUNCTION("""COMPUTED_VALUE"""),"No job type data")</f>
        <v>No job type data</v>
      </c>
      <c r="L1102" s="7" t="str">
        <f>IFERROR(__xludf.DUMMYFUNCTION("""COMPUTED_VALUE"""),"None")</f>
        <v>None</v>
      </c>
      <c r="M1102" s="7"/>
      <c r="N1102" s="7"/>
      <c r="O1102" s="7"/>
    </row>
    <row r="1103">
      <c r="A1103" s="29">
        <f>IFERROR(__xludf.DUMMYFUNCTION("""COMPUTED_VALUE"""),1099.0)</f>
        <v>1099</v>
      </c>
      <c r="B1103" s="7" t="str">
        <f>IFERROR(__xludf.DUMMYFUNCTION("""COMPUTED_VALUE"""),"vor 25 Tagen")</f>
        <v>vor 25 Tagen</v>
      </c>
      <c r="C1103" s="7" t="str">
        <f>IFERROR(__xludf.DUMMYFUNCTION("""COMPUTED_VALUE"""),"Applied Science Manager - Retail Data Products (w/m/d)")</f>
        <v>Applied Science Manager - Retail Data Products (w/m/d)</v>
      </c>
      <c r="D1103" s="7" t="str">
        <f>IFERROR(__xludf.DUMMYFUNCTION("""COMPUTED_VALUE"""),"Berlin")</f>
        <v>Berlin</v>
      </c>
      <c r="E1103" s="7" t="str">
        <f>IFERROR(__xludf.DUMMYFUNCTION("""COMPUTED_VALUE"""),"Zalando")</f>
        <v>Zalando</v>
      </c>
      <c r="F1103" s="7" t="str">
        <f>IFERROR(__xludf.DUMMYFUNCTION("""COMPUTED_VALUE"""),"None")</f>
        <v>None</v>
      </c>
      <c r="G1103" s="7" t="str">
        <f>IFERROR(__xludf.DUMMYFUNCTION("""COMPUTED_VALUE"""),"No salary data")</f>
        <v>No salary data</v>
      </c>
      <c r="H1103" s="7" t="str">
        <f>IFERROR(__xludf.DUMMYFUNCTION("""COMPUTED_VALUE"""),"No salary data")</f>
        <v>No salary data</v>
      </c>
      <c r="I1103" s="7" t="str">
        <f>IFERROR(__xludf.DUMMYFUNCTION("""COMPUTED_VALUE"""),"No salary data")</f>
        <v>No salary data</v>
      </c>
      <c r="J1103" s="7" t="str">
        <f>IFERROR(__xludf.DUMMYFUNCTION("""COMPUTED_VALUE"""),"Python, SQL, Excel, Machine Learning, Statistic, Git, Agile")</f>
        <v>Python, SQL, Excel, Machine Learning, Statistic, Git, Agile</v>
      </c>
      <c r="K1103" s="7" t="str">
        <f>IFERROR(__xludf.DUMMYFUNCTION("""COMPUTED_VALUE"""),"Volunteer")</f>
        <v>Volunteer</v>
      </c>
      <c r="L1103" s="7" t="str">
        <f>IFERROR(__xludf.DUMMYFUNCTION("""COMPUTED_VALUE"""),"3,1")</f>
        <v>3,1</v>
      </c>
      <c r="M1103" s="7"/>
      <c r="N1103" s="7"/>
      <c r="O1103" s="7"/>
    </row>
    <row r="1104">
      <c r="A1104" s="29">
        <f>IFERROR(__xludf.DUMMYFUNCTION("""COMPUTED_VALUE"""),1100.0)</f>
        <v>1100</v>
      </c>
      <c r="B1104" s="7" t="str">
        <f>IFERROR(__xludf.DUMMYFUNCTION("""COMPUTED_VALUE"""),"vor 27 Tagen")</f>
        <v>vor 27 Tagen</v>
      </c>
      <c r="C1104" s="7" t="str">
        <f>IFERROR(__xludf.DUMMYFUNCTION("""COMPUTED_VALUE"""),"Lead Mechanical Engineer - Data Center")</f>
        <v>Lead Mechanical Engineer - Data Center</v>
      </c>
      <c r="D1104" s="7" t="str">
        <f>IFERROR(__xludf.DUMMYFUNCTION("""COMPUTED_VALUE"""),"Frankfurt am Main")</f>
        <v>Frankfurt am Main</v>
      </c>
      <c r="E1104" s="7" t="str">
        <f>IFERROR(__xludf.DUMMYFUNCTION("""COMPUTED_VALUE"""),"Ashbys Consulting")</f>
        <v>Ashbys Consulting</v>
      </c>
      <c r="F1104" s="7" t="str">
        <f>IFERROR(__xludf.DUMMYFUNCTION("""COMPUTED_VALUE"""),"90,000 € - 110,000 € pro Jahr")</f>
        <v>90,000 € - 110,000 € pro Jahr</v>
      </c>
      <c r="G1104" s="7">
        <f>IFERROR(__xludf.DUMMYFUNCTION("""COMPUTED_VALUE"""),100000.0)</f>
        <v>100000</v>
      </c>
      <c r="H1104" s="7" t="str">
        <f>IFERROR(__xludf.DUMMYFUNCTION("""COMPUTED_VALUE"""),"Jahr")</f>
        <v>Jahr</v>
      </c>
      <c r="I1104" s="7">
        <f>IFERROR(__xludf.DUMMYFUNCTION("""COMPUTED_VALUE"""),100000.0)</f>
        <v>100000</v>
      </c>
      <c r="J1104" s="7" t="str">
        <f>IFERROR(__xludf.DUMMYFUNCTION("""COMPUTED_VALUE"""),"Excel")</f>
        <v>Excel</v>
      </c>
      <c r="K1104" s="7" t="str">
        <f>IFERROR(__xludf.DUMMYFUNCTION("""COMPUTED_VALUE"""),"Contract")</f>
        <v>Contract</v>
      </c>
      <c r="L1104" s="7" t="str">
        <f>IFERROR(__xludf.DUMMYFUNCTION("""COMPUTED_VALUE"""),"None")</f>
        <v>None</v>
      </c>
      <c r="M1104" s="7"/>
      <c r="N1104" s="7"/>
      <c r="O1104" s="7"/>
    </row>
    <row r="1105">
      <c r="A1105" s="29">
        <f>IFERROR(__xludf.DUMMYFUNCTION("""COMPUTED_VALUE"""),1101.0)</f>
        <v>1101</v>
      </c>
      <c r="B1105" s="7" t="str">
        <f>IFERROR(__xludf.DUMMYFUNCTION("""COMPUTED_VALUE"""),"vor 4 Tagen")</f>
        <v>vor 4 Tagen</v>
      </c>
      <c r="C1105" s="7" t="str">
        <f>IFERROR(__xludf.DUMMYFUNCTION("""COMPUTED_VALUE"""),"Data Scientist, Schwerpunkt Data Warehouse (m/w/d)")</f>
        <v>Data Scientist, Schwerpunkt Data Warehouse (m/w/d)</v>
      </c>
      <c r="D1105" s="7" t="str">
        <f>IFERROR(__xludf.DUMMYFUNCTION("""COMPUTED_VALUE"""),"Köln")</f>
        <v>Köln</v>
      </c>
      <c r="E1105" s="7" t="str">
        <f>IFERROR(__xludf.DUMMYFUNCTION("""COMPUTED_VALUE"""),"- BG ETEM - Berufsgenossenschaft Energie Textil Elektro Medienerzeugnisse")</f>
        <v>- BG ETEM - Berufsgenossenschaft Energie Textil Elektro Medienerzeugnisse</v>
      </c>
      <c r="F1105" s="7" t="str">
        <f>IFERROR(__xludf.DUMMYFUNCTION("""COMPUTED_VALUE"""),"None")</f>
        <v>None</v>
      </c>
      <c r="G1105" s="7" t="str">
        <f>IFERROR(__xludf.DUMMYFUNCTION("""COMPUTED_VALUE"""),"No salary data")</f>
        <v>No salary data</v>
      </c>
      <c r="H1105" s="7" t="str">
        <f>IFERROR(__xludf.DUMMYFUNCTION("""COMPUTED_VALUE"""),"No salary data")</f>
        <v>No salary data</v>
      </c>
      <c r="I1105" s="7" t="str">
        <f>IFERROR(__xludf.DUMMYFUNCTION("""COMPUTED_VALUE"""),"No salary data")</f>
        <v>No salary data</v>
      </c>
      <c r="J1105" s="7"/>
      <c r="K1105" s="7" t="str">
        <f>IFERROR(__xludf.DUMMYFUNCTION("""COMPUTED_VALUE"""),"No job type data")</f>
        <v>No job type data</v>
      </c>
      <c r="L1105" s="7" t="str">
        <f>IFERROR(__xludf.DUMMYFUNCTION("""COMPUTED_VALUE"""),"None")</f>
        <v>None</v>
      </c>
      <c r="M1105" s="7"/>
      <c r="N1105" s="7"/>
      <c r="O1105" s="7"/>
    </row>
    <row r="1106">
      <c r="A1106" s="29">
        <f>IFERROR(__xludf.DUMMYFUNCTION("""COMPUTED_VALUE"""),1102.0)</f>
        <v>1102</v>
      </c>
      <c r="B1106" s="7" t="str">
        <f>IFERROR(__xludf.DUMMYFUNCTION("""COMPUTED_VALUE"""),"Vor mehr als 30 Tagen")</f>
        <v>Vor mehr als 30 Tagen</v>
      </c>
      <c r="C1106" s="7" t="str">
        <f>IFERROR(__xludf.DUMMYFUNCTION("""COMPUTED_VALUE"""),"Chief Data Officer")</f>
        <v>Chief Data Officer</v>
      </c>
      <c r="D1106" s="7" t="str">
        <f>IFERROR(__xludf.DUMMYFUNCTION("""COMPUTED_VALUE"""),"Frankfurt am Main")</f>
        <v>Frankfurt am Main</v>
      </c>
      <c r="E1106" s="7" t="str">
        <f>IFERROR(__xludf.DUMMYFUNCTION("""COMPUTED_VALUE"""),"Forsyth Barnes")</f>
        <v>Forsyth Barnes</v>
      </c>
      <c r="F1106" s="7" t="str">
        <f>IFERROR(__xludf.DUMMYFUNCTION("""COMPUTED_VALUE"""),"None")</f>
        <v>None</v>
      </c>
      <c r="G1106" s="7" t="str">
        <f>IFERROR(__xludf.DUMMYFUNCTION("""COMPUTED_VALUE"""),"No salary data")</f>
        <v>No salary data</v>
      </c>
      <c r="H1106" s="7" t="str">
        <f>IFERROR(__xludf.DUMMYFUNCTION("""COMPUTED_VALUE"""),"No salary data")</f>
        <v>No salary data</v>
      </c>
      <c r="I1106" s="7" t="str">
        <f>IFERROR(__xludf.DUMMYFUNCTION("""COMPUTED_VALUE"""),"No salary data")</f>
        <v>No salary data</v>
      </c>
      <c r="J1106" s="7"/>
      <c r="K1106" s="7" t="str">
        <f>IFERROR(__xludf.DUMMYFUNCTION("""COMPUTED_VALUE"""),"Contract")</f>
        <v>Contract</v>
      </c>
      <c r="L1106" s="7" t="str">
        <f>IFERROR(__xludf.DUMMYFUNCTION("""COMPUTED_VALUE"""),"None")</f>
        <v>None</v>
      </c>
      <c r="M1106" s="7"/>
      <c r="N1106" s="7"/>
      <c r="O1106" s="7"/>
    </row>
    <row r="1107">
      <c r="A1107" s="29">
        <f>IFERROR(__xludf.DUMMYFUNCTION("""COMPUTED_VALUE"""),1103.0)</f>
        <v>1103</v>
      </c>
      <c r="B1107" s="7" t="str">
        <f>IFERROR(__xludf.DUMMYFUNCTION("""COMPUTED_VALUE"""),"vor 9 Tagen")</f>
        <v>vor 9 Tagen</v>
      </c>
      <c r="C1107" s="7" t="str">
        <f>IFERROR(__xludf.DUMMYFUNCTION("""COMPUTED_VALUE"""),"(Junior) Data Manager Subnational Insights &amp; Analytics (m/w/...")</f>
        <v>(Junior) Data Manager Subnational Insights &amp; Analytics (m/w/...</v>
      </c>
      <c r="D1107" s="7" t="str">
        <f>IFERROR(__xludf.DUMMYFUNCTION("""COMPUTED_VALUE"""),"Waldems")</f>
        <v>Waldems</v>
      </c>
      <c r="E1107" s="7" t="str">
        <f>IFERROR(__xludf.DUMMYFUNCTION("""COMPUTED_VALUE"""),"INSIGHT Health GmbH &amp; Co. KG")</f>
        <v>INSIGHT Health GmbH &amp; Co. KG</v>
      </c>
      <c r="F1107" s="7" t="str">
        <f>IFERROR(__xludf.DUMMYFUNCTION("""COMPUTED_VALUE"""),"None")</f>
        <v>None</v>
      </c>
      <c r="G1107" s="7" t="str">
        <f>IFERROR(__xludf.DUMMYFUNCTION("""COMPUTED_VALUE"""),"No salary data")</f>
        <v>No salary data</v>
      </c>
      <c r="H1107" s="7" t="str">
        <f>IFERROR(__xludf.DUMMYFUNCTION("""COMPUTED_VALUE"""),"No salary data")</f>
        <v>No salary data</v>
      </c>
      <c r="I1107" s="7" t="str">
        <f>IFERROR(__xludf.DUMMYFUNCTION("""COMPUTED_VALUE"""),"No salary data")</f>
        <v>No salary data</v>
      </c>
      <c r="J1107" s="7" t="str">
        <f>IFERROR(__xludf.DUMMYFUNCTION("""COMPUTED_VALUE"""),"Excel")</f>
        <v>Excel</v>
      </c>
      <c r="K1107" s="7" t="str">
        <f>IFERROR(__xludf.DUMMYFUNCTION("""COMPUTED_VALUE"""),"No job type data")</f>
        <v>No job type data</v>
      </c>
      <c r="L1107" s="7" t="str">
        <f>IFERROR(__xludf.DUMMYFUNCTION("""COMPUTED_VALUE"""),"None")</f>
        <v>None</v>
      </c>
      <c r="M1107" s="7"/>
      <c r="N1107" s="7"/>
      <c r="O1107" s="7"/>
    </row>
    <row r="1108">
      <c r="A1108" s="29">
        <f>IFERROR(__xludf.DUMMYFUNCTION("""COMPUTED_VALUE"""),1104.0)</f>
        <v>1104</v>
      </c>
      <c r="B1108" s="7" t="str">
        <f>IFERROR(__xludf.DUMMYFUNCTION("""COMPUTED_VALUE"""),"Heute")</f>
        <v>Heute</v>
      </c>
      <c r="C1108" s="7" t="str">
        <f>IFERROR(__xludf.DUMMYFUNCTION("""COMPUTED_VALUE"""),"Director Data Analysis &amp; Simulation (w/m/d)")</f>
        <v>Director Data Analysis &amp; Simulation (w/m/d)</v>
      </c>
      <c r="D1108" s="7" t="str">
        <f>IFERROR(__xludf.DUMMYFUNCTION("""COMPUTED_VALUE"""),"Giebelstadt")</f>
        <v>Giebelstadt</v>
      </c>
      <c r="E1108" s="7" t="str">
        <f>IFERROR(__xludf.DUMMYFUNCTION("""COMPUTED_VALUE"""),"SSI Schäfer Automation GmbH")</f>
        <v>SSI Schäfer Automation GmbH</v>
      </c>
      <c r="F1108" s="7" t="str">
        <f>IFERROR(__xludf.DUMMYFUNCTION("""COMPUTED_VALUE"""),"None")</f>
        <v>None</v>
      </c>
      <c r="G1108" s="7" t="str">
        <f>IFERROR(__xludf.DUMMYFUNCTION("""COMPUTED_VALUE"""),"No salary data")</f>
        <v>No salary data</v>
      </c>
      <c r="H1108" s="7" t="str">
        <f>IFERROR(__xludf.DUMMYFUNCTION("""COMPUTED_VALUE"""),"No salary data")</f>
        <v>No salary data</v>
      </c>
      <c r="I1108" s="7" t="str">
        <f>IFERROR(__xludf.DUMMYFUNCTION("""COMPUTED_VALUE"""),"No salary data")</f>
        <v>No salary data</v>
      </c>
      <c r="J1108" s="7"/>
      <c r="K1108" s="7" t="str">
        <f>IFERROR(__xludf.DUMMYFUNCTION("""COMPUTED_VALUE"""),"No job type data")</f>
        <v>No job type data</v>
      </c>
      <c r="L1108" s="7" t="str">
        <f>IFERROR(__xludf.DUMMYFUNCTION("""COMPUTED_VALUE"""),"None")</f>
        <v>None</v>
      </c>
      <c r="M1108" s="7"/>
      <c r="N1108" s="7"/>
      <c r="O1108" s="7"/>
    </row>
    <row r="1109">
      <c r="A1109" s="29">
        <f>IFERROR(__xludf.DUMMYFUNCTION("""COMPUTED_VALUE"""),1105.0)</f>
        <v>1105</v>
      </c>
      <c r="B1109" s="7" t="str">
        <f>IFERROR(__xludf.DUMMYFUNCTION("""COMPUTED_VALUE"""),"vor 7 Tagen")</f>
        <v>vor 7 Tagen</v>
      </c>
      <c r="C1109" s="7" t="str">
        <f>IFERROR(__xludf.DUMMYFUNCTION("""COMPUTED_VALUE"""),"Researcher (PhD Candidate) (m/f/d)")</f>
        <v>Researcher (PhD Candidate) (m/f/d)</v>
      </c>
      <c r="D1109" s="7" t="str">
        <f>IFERROR(__xludf.DUMMYFUNCTION("""COMPUTED_VALUE"""),"Frankfurt am Main")</f>
        <v>Frankfurt am Main</v>
      </c>
      <c r="E1109" s="7" t="str">
        <f>IFERROR(__xludf.DUMMYFUNCTION("""COMPUTED_VALUE"""),"Max-Planck-Gesellschaft für empirische Ästhetik")</f>
        <v>Max-Planck-Gesellschaft für empirische Ästhetik</v>
      </c>
      <c r="F1109" s="7" t="str">
        <f>IFERROR(__xludf.DUMMYFUNCTION("""COMPUTED_VALUE"""),"None")</f>
        <v>None</v>
      </c>
      <c r="G1109" s="7" t="str">
        <f>IFERROR(__xludf.DUMMYFUNCTION("""COMPUTED_VALUE"""),"No salary data")</f>
        <v>No salary data</v>
      </c>
      <c r="H1109" s="7" t="str">
        <f>IFERROR(__xludf.DUMMYFUNCTION("""COMPUTED_VALUE"""),"No salary data")</f>
        <v>No salary data</v>
      </c>
      <c r="I1109" s="7" t="str">
        <f>IFERROR(__xludf.DUMMYFUNCTION("""COMPUTED_VALUE"""),"No salary data")</f>
        <v>No salary data</v>
      </c>
      <c r="J1109" s="7" t="str">
        <f>IFERROR(__xludf.DUMMYFUNCTION("""COMPUTED_VALUE"""),"Python, Excel, Machine Learning, Statistic")</f>
        <v>Python, Excel, Machine Learning, Statistic</v>
      </c>
      <c r="K1109" s="7" t="str">
        <f>IFERROR(__xludf.DUMMYFUNCTION("""COMPUTED_VALUE"""),"No job type data")</f>
        <v>No job type data</v>
      </c>
      <c r="L1109" s="7" t="str">
        <f>IFERROR(__xludf.DUMMYFUNCTION("""COMPUTED_VALUE"""),"None")</f>
        <v>None</v>
      </c>
      <c r="M1109" s="7"/>
      <c r="N1109" s="7"/>
      <c r="O1109" s="7"/>
    </row>
    <row r="1110">
      <c r="A1110" s="29">
        <f>IFERROR(__xludf.DUMMYFUNCTION("""COMPUTED_VALUE"""),1106.0)</f>
        <v>1106</v>
      </c>
      <c r="B1110" s="7" t="str">
        <f>IFERROR(__xludf.DUMMYFUNCTION("""COMPUTED_VALUE"""),"vor 12 Tagen")</f>
        <v>vor 12 Tagen</v>
      </c>
      <c r="C1110" s="7" t="str">
        <f>IFERROR(__xludf.DUMMYFUNCTION("""COMPUTED_VALUE"""),"(Junior) Business Intelligence Developer/Data Warehouse (m/w...")</f>
        <v>(Junior) Business Intelligence Developer/Data Warehouse (m/w...</v>
      </c>
      <c r="D1110" s="7" t="str">
        <f>IFERROR(__xludf.DUMMYFUNCTION("""COMPUTED_VALUE"""),"Nürnberg")</f>
        <v>Nürnberg</v>
      </c>
      <c r="E1110" s="7" t="str">
        <f>IFERROR(__xludf.DUMMYFUNCTION("""COMPUTED_VALUE"""),"Immowelt AG")</f>
        <v>Immowelt AG</v>
      </c>
      <c r="F1110" s="7" t="str">
        <f>IFERROR(__xludf.DUMMYFUNCTION("""COMPUTED_VALUE"""),"None")</f>
        <v>None</v>
      </c>
      <c r="G1110" s="7" t="str">
        <f>IFERROR(__xludf.DUMMYFUNCTION("""COMPUTED_VALUE"""),"No salary data")</f>
        <v>No salary data</v>
      </c>
      <c r="H1110" s="7" t="str">
        <f>IFERROR(__xludf.DUMMYFUNCTION("""COMPUTED_VALUE"""),"No salary data")</f>
        <v>No salary data</v>
      </c>
      <c r="I1110" s="7" t="str">
        <f>IFERROR(__xludf.DUMMYFUNCTION("""COMPUTED_VALUE"""),"No salary data")</f>
        <v>No salary data</v>
      </c>
      <c r="J1110" s="7" t="str">
        <f>IFERROR(__xludf.DUMMYFUNCTION("""COMPUTED_VALUE"""),"Python, SQL")</f>
        <v>Python, SQL</v>
      </c>
      <c r="K1110" s="7" t="str">
        <f>IFERROR(__xludf.DUMMYFUNCTION("""COMPUTED_VALUE"""),"No job type data")</f>
        <v>No job type data</v>
      </c>
      <c r="L1110" s="7" t="str">
        <f>IFERROR(__xludf.DUMMYFUNCTION("""COMPUTED_VALUE"""),"3,5")</f>
        <v>3,5</v>
      </c>
      <c r="M1110" s="7"/>
      <c r="N1110" s="7"/>
      <c r="O1110" s="7"/>
    </row>
    <row r="1111">
      <c r="A1111" s="29">
        <f>IFERROR(__xludf.DUMMYFUNCTION("""COMPUTED_VALUE"""),1107.0)</f>
        <v>1107</v>
      </c>
      <c r="B1111" s="7" t="str">
        <f>IFERROR(__xludf.DUMMYFUNCTION("""COMPUTED_VALUE"""),"vor 21 Tagen")</f>
        <v>vor 21 Tagen</v>
      </c>
      <c r="C1111" s="7" t="str">
        <f>IFERROR(__xludf.DUMMYFUNCTION("""COMPUTED_VALUE"""),"(Senior) Data Engineer (m/f/d)")</f>
        <v>(Senior) Data Engineer (m/f/d)</v>
      </c>
      <c r="D1111" s="7" t="str">
        <f>IFERROR(__xludf.DUMMYFUNCTION("""COMPUTED_VALUE"""),"Deutschland")</f>
        <v>Deutschland</v>
      </c>
      <c r="E1111" s="7" t="str">
        <f>IFERROR(__xludf.DUMMYFUNCTION("""COMPUTED_VALUE"""),"Glocomms")</f>
        <v>Glocomms</v>
      </c>
      <c r="F1111" s="7" t="str">
        <f>IFERROR(__xludf.DUMMYFUNCTION("""COMPUTED_VALUE"""),"60,000 € - 85,000 € pro Jahr")</f>
        <v>60,000 € - 85,000 € pro Jahr</v>
      </c>
      <c r="G1111" s="7">
        <f>IFERROR(__xludf.DUMMYFUNCTION("""COMPUTED_VALUE"""),72500.0)</f>
        <v>72500</v>
      </c>
      <c r="H1111" s="7" t="str">
        <f>IFERROR(__xludf.DUMMYFUNCTION("""COMPUTED_VALUE"""),"Jahr")</f>
        <v>Jahr</v>
      </c>
      <c r="I1111" s="7">
        <f>IFERROR(__xludf.DUMMYFUNCTION("""COMPUTED_VALUE"""),72500.0)</f>
        <v>72500</v>
      </c>
      <c r="J1111" s="7" t="str">
        <f>IFERROR(__xludf.DUMMYFUNCTION("""COMPUTED_VALUE"""),"Python, SQL, Git, Jira")</f>
        <v>Python, SQL, Git, Jira</v>
      </c>
      <c r="K1111" s="7" t="str">
        <f>IFERROR(__xludf.DUMMYFUNCTION("""COMPUTED_VALUE"""),"No job type data")</f>
        <v>No job type data</v>
      </c>
      <c r="L1111" s="7" t="str">
        <f>IFERROR(__xludf.DUMMYFUNCTION("""COMPUTED_VALUE"""),"None")</f>
        <v>None</v>
      </c>
      <c r="M1111" s="7"/>
      <c r="N1111" s="7"/>
      <c r="O1111" s="7"/>
    </row>
    <row r="1112">
      <c r="A1112" s="29">
        <f>IFERROR(__xludf.DUMMYFUNCTION("""COMPUTED_VALUE"""),1108.0)</f>
        <v>1108</v>
      </c>
      <c r="B1112" s="7" t="str">
        <f>IFERROR(__xludf.DUMMYFUNCTION("""COMPUTED_VALUE"""),"vor 5 Tagen")</f>
        <v>vor 5 Tagen</v>
      </c>
      <c r="C1112" s="7" t="str">
        <f>IFERROR(__xludf.DUMMYFUNCTION("""COMPUTED_VALUE"""),"Senior Data Scientist (m/f/d) FinTech")</f>
        <v>Senior Data Scientist (m/f/d) FinTech</v>
      </c>
      <c r="D1112" s="7" t="str">
        <f>IFERROR(__xludf.DUMMYFUNCTION("""COMPUTED_VALUE"""),"Berlin")</f>
        <v>Berlin</v>
      </c>
      <c r="E1112" s="7" t="str">
        <f>IFERROR(__xludf.DUMMYFUNCTION("""COMPUTED_VALUE"""),"Selby Jennings")</f>
        <v>Selby Jennings</v>
      </c>
      <c r="F1112" s="7" t="str">
        <f>IFERROR(__xludf.DUMMYFUNCTION("""COMPUTED_VALUE"""),"60,000 € - 80,000 € pro Jahr")</f>
        <v>60,000 € - 80,000 € pro Jahr</v>
      </c>
      <c r="G1112" s="7">
        <f>IFERROR(__xludf.DUMMYFUNCTION("""COMPUTED_VALUE"""),70000.0)</f>
        <v>70000</v>
      </c>
      <c r="H1112" s="7" t="str">
        <f>IFERROR(__xludf.DUMMYFUNCTION("""COMPUTED_VALUE"""),"Jahr")</f>
        <v>Jahr</v>
      </c>
      <c r="I1112" s="7">
        <f>IFERROR(__xludf.DUMMYFUNCTION("""COMPUTED_VALUE"""),70000.0)</f>
        <v>70000</v>
      </c>
      <c r="J1112" s="7" t="str">
        <f>IFERROR(__xludf.DUMMYFUNCTION("""COMPUTED_VALUE"""),"Python, SQL, Machine Learning")</f>
        <v>Python, SQL, Machine Learning</v>
      </c>
      <c r="K1112" s="7" t="str">
        <f>IFERROR(__xludf.DUMMYFUNCTION("""COMPUTED_VALUE"""),"No job type data")</f>
        <v>No job type data</v>
      </c>
      <c r="L1112" s="7" t="str">
        <f>IFERROR(__xludf.DUMMYFUNCTION("""COMPUTED_VALUE"""),"None")</f>
        <v>None</v>
      </c>
      <c r="M1112" s="7"/>
      <c r="N1112" s="7"/>
      <c r="O1112" s="7"/>
    </row>
    <row r="1113">
      <c r="A1113" s="29">
        <f>IFERROR(__xludf.DUMMYFUNCTION("""COMPUTED_VALUE"""),1109.0)</f>
        <v>1109</v>
      </c>
      <c r="B1113" s="7" t="str">
        <f>IFERROR(__xludf.DUMMYFUNCTION("""COMPUTED_VALUE"""),"Gerade geschaltet")</f>
        <v>Gerade geschaltet</v>
      </c>
      <c r="C1113" s="7" t="str">
        <f>IFERROR(__xludf.DUMMYFUNCTION("""COMPUTED_VALUE"""),"FERMENTATION ENGINEER (M/W/D)")</f>
        <v>FERMENTATION ENGINEER (M/W/D)</v>
      </c>
      <c r="D1113" s="7" t="str">
        <f>IFERROR(__xludf.DUMMYFUNCTION("""COMPUTED_VALUE"""),"Leuna")</f>
        <v>Leuna</v>
      </c>
      <c r="E1113" s="7" t="str">
        <f>IFERROR(__xludf.DUMMYFUNCTION("""COMPUTED_VALUE"""),"Global Bioenergies")</f>
        <v>Global Bioenergies</v>
      </c>
      <c r="F1113" s="7" t="str">
        <f>IFERROR(__xludf.DUMMYFUNCTION("""COMPUTED_VALUE"""),"None")</f>
        <v>None</v>
      </c>
      <c r="G1113" s="7" t="str">
        <f>IFERROR(__xludf.DUMMYFUNCTION("""COMPUTED_VALUE"""),"No salary data")</f>
        <v>No salary data</v>
      </c>
      <c r="H1113" s="7" t="str">
        <f>IFERROR(__xludf.DUMMYFUNCTION("""COMPUTED_VALUE"""),"No salary data")</f>
        <v>No salary data</v>
      </c>
      <c r="I1113" s="7" t="str">
        <f>IFERROR(__xludf.DUMMYFUNCTION("""COMPUTED_VALUE"""),"No salary data")</f>
        <v>No salary data</v>
      </c>
      <c r="J1113" s="7"/>
      <c r="K1113" s="7" t="str">
        <f>IFERROR(__xludf.DUMMYFUNCTION("""COMPUTED_VALUE"""),"Contract")</f>
        <v>Contract</v>
      </c>
      <c r="L1113" s="7" t="str">
        <f>IFERROR(__xludf.DUMMYFUNCTION("""COMPUTED_VALUE"""),"None")</f>
        <v>None</v>
      </c>
      <c r="M1113" s="7"/>
      <c r="N1113" s="7"/>
      <c r="O1113" s="7"/>
    </row>
    <row r="1114">
      <c r="A1114" s="29">
        <f>IFERROR(__xludf.DUMMYFUNCTION("""COMPUTED_VALUE"""),1110.0)</f>
        <v>1110</v>
      </c>
      <c r="B1114" s="7" t="str">
        <f>IFERROR(__xludf.DUMMYFUNCTION("""COMPUTED_VALUE"""),"vor 2 Tagen")</f>
        <v>vor 2 Tagen</v>
      </c>
      <c r="C1114" s="7" t="str">
        <f>IFERROR(__xludf.DUMMYFUNCTION("""COMPUTED_VALUE"""),"Dualer Student (m/w/d) Informatik mit Schwerpunkt Computatio...")</f>
        <v>Dualer Student (m/w/d) Informatik mit Schwerpunkt Computatio...</v>
      </c>
      <c r="D1114" s="7" t="str">
        <f>IFERROR(__xludf.DUMMYFUNCTION("""COMPUTED_VALUE"""),"Düsseldorf")</f>
        <v>Düsseldorf</v>
      </c>
      <c r="E1114" s="7" t="str">
        <f>IFERROR(__xludf.DUMMYFUNCTION("""COMPUTED_VALUE"""),"Vodafone Deutschland")</f>
        <v>Vodafone Deutschland</v>
      </c>
      <c r="F1114" s="7" t="str">
        <f>IFERROR(__xludf.DUMMYFUNCTION("""COMPUTED_VALUE"""),"None")</f>
        <v>None</v>
      </c>
      <c r="G1114" s="7" t="str">
        <f>IFERROR(__xludf.DUMMYFUNCTION("""COMPUTED_VALUE"""),"No salary data")</f>
        <v>No salary data</v>
      </c>
      <c r="H1114" s="7" t="str">
        <f>IFERROR(__xludf.DUMMYFUNCTION("""COMPUTED_VALUE"""),"No salary data")</f>
        <v>No salary data</v>
      </c>
      <c r="I1114" s="7" t="str">
        <f>IFERROR(__xludf.DUMMYFUNCTION("""COMPUTED_VALUE"""),"No salary data")</f>
        <v>No salary data</v>
      </c>
      <c r="J1114" s="7" t="str">
        <f>IFERROR(__xludf.DUMMYFUNCTION("""COMPUTED_VALUE"""),"SQL, Machine Learning, Git")</f>
        <v>SQL, Machine Learning, Git</v>
      </c>
      <c r="K1114" s="7" t="str">
        <f>IFERROR(__xludf.DUMMYFUNCTION("""COMPUTED_VALUE"""),"No job type data")</f>
        <v>No job type data</v>
      </c>
      <c r="L1114" s="7" t="str">
        <f>IFERROR(__xludf.DUMMYFUNCTION("""COMPUTED_VALUE"""),"4,0")</f>
        <v>4,0</v>
      </c>
      <c r="M1114" s="7"/>
      <c r="N1114" s="7"/>
      <c r="O1114" s="7"/>
    </row>
    <row r="1115">
      <c r="A1115" s="29">
        <f>IFERROR(__xludf.DUMMYFUNCTION("""COMPUTED_VALUE"""),1111.0)</f>
        <v>1111</v>
      </c>
      <c r="B1115" s="7" t="str">
        <f>IFERROR(__xludf.DUMMYFUNCTION("""COMPUTED_VALUE"""),"Gerade geschaltet")</f>
        <v>Gerade geschaltet</v>
      </c>
      <c r="C1115" s="7" t="str">
        <f>IFERROR(__xludf.DUMMYFUNCTION("""COMPUTED_VALUE"""),"FERMENTATION ENGINEER (M/W/D)")</f>
        <v>FERMENTATION ENGINEER (M/W/D)</v>
      </c>
      <c r="D1115" s="7" t="str">
        <f>IFERROR(__xludf.DUMMYFUNCTION("""COMPUTED_VALUE"""),"Leuna")</f>
        <v>Leuna</v>
      </c>
      <c r="E1115" s="7" t="str">
        <f>IFERROR(__xludf.DUMMYFUNCTION("""COMPUTED_VALUE"""),"Global Bioenergies")</f>
        <v>Global Bioenergies</v>
      </c>
      <c r="F1115" s="7" t="str">
        <f>IFERROR(__xludf.DUMMYFUNCTION("""COMPUTED_VALUE"""),"None")</f>
        <v>None</v>
      </c>
      <c r="G1115" s="7" t="str">
        <f>IFERROR(__xludf.DUMMYFUNCTION("""COMPUTED_VALUE"""),"No salary data")</f>
        <v>No salary data</v>
      </c>
      <c r="H1115" s="7" t="str">
        <f>IFERROR(__xludf.DUMMYFUNCTION("""COMPUTED_VALUE"""),"No salary data")</f>
        <v>No salary data</v>
      </c>
      <c r="I1115" s="7" t="str">
        <f>IFERROR(__xludf.DUMMYFUNCTION("""COMPUTED_VALUE"""),"No salary data")</f>
        <v>No salary data</v>
      </c>
      <c r="J1115" s="7"/>
      <c r="K1115" s="7" t="str">
        <f>IFERROR(__xludf.DUMMYFUNCTION("""COMPUTED_VALUE"""),"Contract")</f>
        <v>Contract</v>
      </c>
      <c r="L1115" s="7" t="str">
        <f>IFERROR(__xludf.DUMMYFUNCTION("""COMPUTED_VALUE"""),"None")</f>
        <v>None</v>
      </c>
      <c r="M1115" s="7"/>
      <c r="N1115" s="7"/>
      <c r="O1115" s="7"/>
    </row>
    <row r="1116">
      <c r="A1116" s="29">
        <f>IFERROR(__xludf.DUMMYFUNCTION("""COMPUTED_VALUE"""),1112.0)</f>
        <v>1112</v>
      </c>
      <c r="B1116" s="7" t="str">
        <f>IFERROR(__xludf.DUMMYFUNCTION("""COMPUTED_VALUE"""),"vor 14 Tagen")</f>
        <v>vor 14 Tagen</v>
      </c>
      <c r="C1116" s="7" t="str">
        <f>IFERROR(__xludf.DUMMYFUNCTION("""COMPUTED_VALUE"""),"IT Consultant / Data Warehouse Specialist (m/w/d)")</f>
        <v>IT Consultant / Data Warehouse Specialist (m/w/d)</v>
      </c>
      <c r="D1116" s="7" t="str">
        <f>IFERROR(__xludf.DUMMYFUNCTION("""COMPUTED_VALUE"""),"München")</f>
        <v>München</v>
      </c>
      <c r="E1116" s="7" t="str">
        <f>IFERROR(__xludf.DUMMYFUNCTION("""COMPUTED_VALUE"""),"DEVnet GmbH")</f>
        <v>DEVnet GmbH</v>
      </c>
      <c r="F1116" s="7" t="str">
        <f>IFERROR(__xludf.DUMMYFUNCTION("""COMPUTED_VALUE"""),"None")</f>
        <v>None</v>
      </c>
      <c r="G1116" s="7" t="str">
        <f>IFERROR(__xludf.DUMMYFUNCTION("""COMPUTED_VALUE"""),"No salary data")</f>
        <v>No salary data</v>
      </c>
      <c r="H1116" s="7" t="str">
        <f>IFERROR(__xludf.DUMMYFUNCTION("""COMPUTED_VALUE"""),"No salary data")</f>
        <v>No salary data</v>
      </c>
      <c r="I1116" s="7" t="str">
        <f>IFERROR(__xludf.DUMMYFUNCTION("""COMPUTED_VALUE"""),"No salary data")</f>
        <v>No salary data</v>
      </c>
      <c r="J1116" s="7"/>
      <c r="K1116" s="7" t="str">
        <f>IFERROR(__xludf.DUMMYFUNCTION("""COMPUTED_VALUE"""),"No job type data")</f>
        <v>No job type data</v>
      </c>
      <c r="L1116" s="7" t="str">
        <f>IFERROR(__xludf.DUMMYFUNCTION("""COMPUTED_VALUE"""),"None")</f>
        <v>None</v>
      </c>
      <c r="M1116" s="7"/>
      <c r="N1116" s="7"/>
      <c r="O1116" s="7"/>
    </row>
    <row r="1117">
      <c r="A1117" s="29">
        <f>IFERROR(__xludf.DUMMYFUNCTION("""COMPUTED_VALUE"""),1113.0)</f>
        <v>1113</v>
      </c>
      <c r="B1117" s="7" t="str">
        <f>IFERROR(__xludf.DUMMYFUNCTION("""COMPUTED_VALUE"""),"vor 2 Tagen")</f>
        <v>vor 2 Tagen</v>
      </c>
      <c r="C1117" s="7" t="str">
        <f>IFERROR(__xludf.DUMMYFUNCTION("""COMPUTED_VALUE"""),"Consultant Automatisierung (m/w/d)")</f>
        <v>Consultant Automatisierung (m/w/d)</v>
      </c>
      <c r="D1117" s="7" t="str">
        <f>IFERROR(__xludf.DUMMYFUNCTION("""COMPUTED_VALUE"""),"Köln")</f>
        <v>Köln</v>
      </c>
      <c r="E1117" s="7" t="str">
        <f>IFERROR(__xludf.DUMMYFUNCTION("""COMPUTED_VALUE"""),"Ing. Punzenberger COPA-DATA GmbH")</f>
        <v>Ing. Punzenberger COPA-DATA GmbH</v>
      </c>
      <c r="F1117" s="7" t="str">
        <f>IFERROR(__xludf.DUMMYFUNCTION("""COMPUTED_VALUE"""),"None")</f>
        <v>None</v>
      </c>
      <c r="G1117" s="7" t="str">
        <f>IFERROR(__xludf.DUMMYFUNCTION("""COMPUTED_VALUE"""),"No salary data")</f>
        <v>No salary data</v>
      </c>
      <c r="H1117" s="7" t="str">
        <f>IFERROR(__xludf.DUMMYFUNCTION("""COMPUTED_VALUE"""),"No salary data")</f>
        <v>No salary data</v>
      </c>
      <c r="I1117" s="7" t="str">
        <f>IFERROR(__xludf.DUMMYFUNCTION("""COMPUTED_VALUE"""),"No salary data")</f>
        <v>No salary data</v>
      </c>
      <c r="J1117" s="7"/>
      <c r="K1117" s="7" t="str">
        <f>IFERROR(__xludf.DUMMYFUNCTION("""COMPUTED_VALUE"""),"No job type data")</f>
        <v>No job type data</v>
      </c>
      <c r="L1117" s="7" t="str">
        <f>IFERROR(__xludf.DUMMYFUNCTION("""COMPUTED_VALUE"""),"None")</f>
        <v>None</v>
      </c>
      <c r="M1117" s="7"/>
      <c r="N1117" s="7"/>
      <c r="O1117" s="7"/>
    </row>
    <row r="1118">
      <c r="A1118" s="29">
        <f>IFERROR(__xludf.DUMMYFUNCTION("""COMPUTED_VALUE"""),1114.0)</f>
        <v>1114</v>
      </c>
      <c r="B1118" s="7" t="str">
        <f>IFERROR(__xludf.DUMMYFUNCTION("""COMPUTED_VALUE"""),"vor 2 Tagen")</f>
        <v>vor 2 Tagen</v>
      </c>
      <c r="C1118" s="7" t="str">
        <f>IFERROR(__xludf.DUMMYFUNCTION("""COMPUTED_VALUE"""),"Consultant Schwerpunkt Smart City (m/w/d)")</f>
        <v>Consultant Schwerpunkt Smart City (m/w/d)</v>
      </c>
      <c r="D1118" s="7" t="str">
        <f>IFERROR(__xludf.DUMMYFUNCTION("""COMPUTED_VALUE"""),"Köln")</f>
        <v>Köln</v>
      </c>
      <c r="E1118" s="7" t="str">
        <f>IFERROR(__xludf.DUMMYFUNCTION("""COMPUTED_VALUE"""),"Ing. Punzenberger COPA-DATA GmbH")</f>
        <v>Ing. Punzenberger COPA-DATA GmbH</v>
      </c>
      <c r="F1118" s="7" t="str">
        <f>IFERROR(__xludf.DUMMYFUNCTION("""COMPUTED_VALUE"""),"None")</f>
        <v>None</v>
      </c>
      <c r="G1118" s="7" t="str">
        <f>IFERROR(__xludf.DUMMYFUNCTION("""COMPUTED_VALUE"""),"No salary data")</f>
        <v>No salary data</v>
      </c>
      <c r="H1118" s="7" t="str">
        <f>IFERROR(__xludf.DUMMYFUNCTION("""COMPUTED_VALUE"""),"No salary data")</f>
        <v>No salary data</v>
      </c>
      <c r="I1118" s="7" t="str">
        <f>IFERROR(__xludf.DUMMYFUNCTION("""COMPUTED_VALUE"""),"No salary data")</f>
        <v>No salary data</v>
      </c>
      <c r="J1118" s="7" t="str">
        <f>IFERROR(__xludf.DUMMYFUNCTION("""COMPUTED_VALUE"""),"Git")</f>
        <v>Git</v>
      </c>
      <c r="K1118" s="7" t="str">
        <f>IFERROR(__xludf.DUMMYFUNCTION("""COMPUTED_VALUE"""),"No job type data")</f>
        <v>No job type data</v>
      </c>
      <c r="L1118" s="7" t="str">
        <f>IFERROR(__xludf.DUMMYFUNCTION("""COMPUTED_VALUE"""),"None")</f>
        <v>None</v>
      </c>
      <c r="M1118" s="7"/>
      <c r="N1118" s="7"/>
      <c r="O1118" s="7"/>
    </row>
    <row r="1119">
      <c r="A1119" s="29">
        <f>IFERROR(__xludf.DUMMYFUNCTION("""COMPUTED_VALUE"""),1115.0)</f>
        <v>1115</v>
      </c>
      <c r="B1119" s="7" t="str">
        <f>IFERROR(__xludf.DUMMYFUNCTION("""COMPUTED_VALUE"""),"Vor mehr als 30 Tagen")</f>
        <v>Vor mehr als 30 Tagen</v>
      </c>
      <c r="C1119" s="7" t="str">
        <f>IFERROR(__xludf.DUMMYFUNCTION("""COMPUTED_VALUE"""),"Business Intelligence Consultant - SAP BW/4HANA")</f>
        <v>Business Intelligence Consultant - SAP BW/4HANA</v>
      </c>
      <c r="D1119" s="7" t="str">
        <f>IFERROR(__xludf.DUMMYFUNCTION("""COMPUTED_VALUE"""),"Deutschland")</f>
        <v>Deutschland</v>
      </c>
      <c r="E1119" s="7" t="str">
        <f>IFERROR(__xludf.DUMMYFUNCTION("""COMPUTED_VALUE"""),"mayato GmbH")</f>
        <v>mayato GmbH</v>
      </c>
      <c r="F1119" s="7" t="str">
        <f>IFERROR(__xludf.DUMMYFUNCTION("""COMPUTED_VALUE"""),"None")</f>
        <v>None</v>
      </c>
      <c r="G1119" s="7" t="str">
        <f>IFERROR(__xludf.DUMMYFUNCTION("""COMPUTED_VALUE"""),"No salary data")</f>
        <v>No salary data</v>
      </c>
      <c r="H1119" s="7" t="str">
        <f>IFERROR(__xludf.DUMMYFUNCTION("""COMPUTED_VALUE"""),"No salary data")</f>
        <v>No salary data</v>
      </c>
      <c r="I1119" s="7" t="str">
        <f>IFERROR(__xludf.DUMMYFUNCTION("""COMPUTED_VALUE"""),"No salary data")</f>
        <v>No salary data</v>
      </c>
      <c r="J1119" s="7" t="str">
        <f>IFERROR(__xludf.DUMMYFUNCTION("""COMPUTED_VALUE"""),"SQL, Git")</f>
        <v>SQL, Git</v>
      </c>
      <c r="K1119" s="7" t="str">
        <f>IFERROR(__xludf.DUMMYFUNCTION("""COMPUTED_VALUE"""),"No job type data")</f>
        <v>No job type data</v>
      </c>
      <c r="L1119" s="7" t="str">
        <f>IFERROR(__xludf.DUMMYFUNCTION("""COMPUTED_VALUE"""),"4,8")</f>
        <v>4,8</v>
      </c>
      <c r="M1119" s="7"/>
      <c r="N1119" s="7"/>
      <c r="O1119" s="7"/>
    </row>
    <row r="1120">
      <c r="A1120" s="29">
        <f>IFERROR(__xludf.DUMMYFUNCTION("""COMPUTED_VALUE"""),1116.0)</f>
        <v>1116</v>
      </c>
      <c r="B1120" s="7" t="str">
        <f>IFERROR(__xludf.DUMMYFUNCTION("""COMPUTED_VALUE"""),"Gerade geschaltet")</f>
        <v>Gerade geschaltet</v>
      </c>
      <c r="C1120" s="7" t="str">
        <f>IFERROR(__xludf.DUMMYFUNCTION("""COMPUTED_VALUE"""),"PROJECT MANAGER (M/W/D)")</f>
        <v>PROJECT MANAGER (M/W/D)</v>
      </c>
      <c r="D1120" s="7" t="str">
        <f>IFERROR(__xludf.DUMMYFUNCTION("""COMPUTED_VALUE"""),"Leuna")</f>
        <v>Leuna</v>
      </c>
      <c r="E1120" s="7" t="str">
        <f>IFERROR(__xludf.DUMMYFUNCTION("""COMPUTED_VALUE"""),"Global Bioenergies")</f>
        <v>Global Bioenergies</v>
      </c>
      <c r="F1120" s="7" t="str">
        <f>IFERROR(__xludf.DUMMYFUNCTION("""COMPUTED_VALUE"""),"None")</f>
        <v>None</v>
      </c>
      <c r="G1120" s="7" t="str">
        <f>IFERROR(__xludf.DUMMYFUNCTION("""COMPUTED_VALUE"""),"No salary data")</f>
        <v>No salary data</v>
      </c>
      <c r="H1120" s="7" t="str">
        <f>IFERROR(__xludf.DUMMYFUNCTION("""COMPUTED_VALUE"""),"No salary data")</f>
        <v>No salary data</v>
      </c>
      <c r="I1120" s="7" t="str">
        <f>IFERROR(__xludf.DUMMYFUNCTION("""COMPUTED_VALUE"""),"No salary data")</f>
        <v>No salary data</v>
      </c>
      <c r="J1120" s="7"/>
      <c r="K1120" s="7" t="str">
        <f>IFERROR(__xludf.DUMMYFUNCTION("""COMPUTED_VALUE"""),"Contract")</f>
        <v>Contract</v>
      </c>
      <c r="L1120" s="7" t="str">
        <f>IFERROR(__xludf.DUMMYFUNCTION("""COMPUTED_VALUE"""),"None")</f>
        <v>None</v>
      </c>
      <c r="M1120" s="7"/>
      <c r="N1120" s="7"/>
      <c r="O1120" s="7"/>
    </row>
    <row r="1121">
      <c r="A1121" s="29">
        <f>IFERROR(__xludf.DUMMYFUNCTION("""COMPUTED_VALUE"""),1117.0)</f>
        <v>1117</v>
      </c>
      <c r="B1121" s="7" t="str">
        <f>IFERROR(__xludf.DUMMYFUNCTION("""COMPUTED_VALUE"""),"Vor mehr als 30 Tagen")</f>
        <v>Vor mehr als 30 Tagen</v>
      </c>
      <c r="C1121" s="7" t="str">
        <f>IFERROR(__xludf.DUMMYFUNCTION("""COMPUTED_VALUE"""),"Business Intelligence Consultant (m/w/d) Schwerpunkt Datenba...")</f>
        <v>Business Intelligence Consultant (m/w/d) Schwerpunkt Datenba...</v>
      </c>
      <c r="D1121" s="7" t="str">
        <f>IFERROR(__xludf.DUMMYFUNCTION("""COMPUTED_VALUE"""),"Deutschland")</f>
        <v>Deutschland</v>
      </c>
      <c r="E1121" s="7" t="str">
        <f>IFERROR(__xludf.DUMMYFUNCTION("""COMPUTED_VALUE"""),"mayato GmbH")</f>
        <v>mayato GmbH</v>
      </c>
      <c r="F1121" s="7" t="str">
        <f>IFERROR(__xludf.DUMMYFUNCTION("""COMPUTED_VALUE"""),"None")</f>
        <v>None</v>
      </c>
      <c r="G1121" s="7" t="str">
        <f>IFERROR(__xludf.DUMMYFUNCTION("""COMPUTED_VALUE"""),"No salary data")</f>
        <v>No salary data</v>
      </c>
      <c r="H1121" s="7" t="str">
        <f>IFERROR(__xludf.DUMMYFUNCTION("""COMPUTED_VALUE"""),"No salary data")</f>
        <v>No salary data</v>
      </c>
      <c r="I1121" s="7" t="str">
        <f>IFERROR(__xludf.DUMMYFUNCTION("""COMPUTED_VALUE"""),"No salary data")</f>
        <v>No salary data</v>
      </c>
      <c r="J1121" s="7"/>
      <c r="K1121" s="7" t="str">
        <f>IFERROR(__xludf.DUMMYFUNCTION("""COMPUTED_VALUE"""),"No job type data")</f>
        <v>No job type data</v>
      </c>
      <c r="L1121" s="7" t="str">
        <f>IFERROR(__xludf.DUMMYFUNCTION("""COMPUTED_VALUE"""),"4,8")</f>
        <v>4,8</v>
      </c>
      <c r="M1121" s="7"/>
      <c r="N1121" s="7"/>
      <c r="O1121" s="7"/>
    </row>
    <row r="1122">
      <c r="A1122" s="29">
        <f>IFERROR(__xludf.DUMMYFUNCTION("""COMPUTED_VALUE"""),1118.0)</f>
        <v>1118</v>
      </c>
      <c r="B1122" s="7" t="str">
        <f>IFERROR(__xludf.DUMMYFUNCTION("""COMPUTED_VALUE"""),"vor 2 Tagen")</f>
        <v>vor 2 Tagen</v>
      </c>
      <c r="C1122" s="7" t="str">
        <f>IFERROR(__xludf.DUMMYFUNCTION("""COMPUTED_VALUE"""),"Consultant Schwerpunkt Smart City (m/w/d)")</f>
        <v>Consultant Schwerpunkt Smart City (m/w/d)</v>
      </c>
      <c r="D1122" s="7" t="str">
        <f>IFERROR(__xludf.DUMMYFUNCTION("""COMPUTED_VALUE"""),"Ludwigshafen am Rhein")</f>
        <v>Ludwigshafen am Rhein</v>
      </c>
      <c r="E1122" s="7" t="str">
        <f>IFERROR(__xludf.DUMMYFUNCTION("""COMPUTED_VALUE"""),"Ing. Punzenberger COPA-DATA GmbH")</f>
        <v>Ing. Punzenberger COPA-DATA GmbH</v>
      </c>
      <c r="F1122" s="7" t="str">
        <f>IFERROR(__xludf.DUMMYFUNCTION("""COMPUTED_VALUE"""),"None")</f>
        <v>None</v>
      </c>
      <c r="G1122" s="7" t="str">
        <f>IFERROR(__xludf.DUMMYFUNCTION("""COMPUTED_VALUE"""),"No salary data")</f>
        <v>No salary data</v>
      </c>
      <c r="H1122" s="7" t="str">
        <f>IFERROR(__xludf.DUMMYFUNCTION("""COMPUTED_VALUE"""),"No salary data")</f>
        <v>No salary data</v>
      </c>
      <c r="I1122" s="7" t="str">
        <f>IFERROR(__xludf.DUMMYFUNCTION("""COMPUTED_VALUE"""),"No salary data")</f>
        <v>No salary data</v>
      </c>
      <c r="J1122" s="7" t="str">
        <f>IFERROR(__xludf.DUMMYFUNCTION("""COMPUTED_VALUE"""),"Git")</f>
        <v>Git</v>
      </c>
      <c r="K1122" s="7" t="str">
        <f>IFERROR(__xludf.DUMMYFUNCTION("""COMPUTED_VALUE"""),"No job type data")</f>
        <v>No job type data</v>
      </c>
      <c r="L1122" s="7" t="str">
        <f>IFERROR(__xludf.DUMMYFUNCTION("""COMPUTED_VALUE"""),"None")</f>
        <v>None</v>
      </c>
      <c r="M1122" s="7"/>
      <c r="N1122" s="7"/>
      <c r="O1122" s="7"/>
    </row>
    <row r="1123">
      <c r="A1123" s="29">
        <f>IFERROR(__xludf.DUMMYFUNCTION("""COMPUTED_VALUE"""),1119.0)</f>
        <v>1119</v>
      </c>
      <c r="B1123" s="7" t="str">
        <f>IFERROR(__xludf.DUMMYFUNCTION("""COMPUTED_VALUE"""),"Vor mehr als 30 Tagen")</f>
        <v>Vor mehr als 30 Tagen</v>
      </c>
      <c r="C1123" s="7" t="str">
        <f>IFERROR(__xludf.DUMMYFUNCTION("""COMPUTED_VALUE"""),"Big Data Engineer (m/w/d)")</f>
        <v>Big Data Engineer (m/w/d)</v>
      </c>
      <c r="D1123" s="7" t="str">
        <f>IFERROR(__xludf.DUMMYFUNCTION("""COMPUTED_VALUE"""),"Deutschland")</f>
        <v>Deutschland</v>
      </c>
      <c r="E1123" s="7" t="str">
        <f>IFERROR(__xludf.DUMMYFUNCTION("""COMPUTED_VALUE"""),"mayato GmbH")</f>
        <v>mayato GmbH</v>
      </c>
      <c r="F1123" s="7" t="str">
        <f>IFERROR(__xludf.DUMMYFUNCTION("""COMPUTED_VALUE"""),"None")</f>
        <v>None</v>
      </c>
      <c r="G1123" s="7" t="str">
        <f>IFERROR(__xludf.DUMMYFUNCTION("""COMPUTED_VALUE"""),"No salary data")</f>
        <v>No salary data</v>
      </c>
      <c r="H1123" s="7" t="str">
        <f>IFERROR(__xludf.DUMMYFUNCTION("""COMPUTED_VALUE"""),"No salary data")</f>
        <v>No salary data</v>
      </c>
      <c r="I1123" s="7" t="str">
        <f>IFERROR(__xludf.DUMMYFUNCTION("""COMPUTED_VALUE"""),"No salary data")</f>
        <v>No salary data</v>
      </c>
      <c r="J1123" s="7" t="str">
        <f>IFERROR(__xludf.DUMMYFUNCTION("""COMPUTED_VALUE"""),"Machine Learning")</f>
        <v>Machine Learning</v>
      </c>
      <c r="K1123" s="7" t="str">
        <f>IFERROR(__xludf.DUMMYFUNCTION("""COMPUTED_VALUE"""),"No job type data")</f>
        <v>No job type data</v>
      </c>
      <c r="L1123" s="7" t="str">
        <f>IFERROR(__xludf.DUMMYFUNCTION("""COMPUTED_VALUE"""),"4,8")</f>
        <v>4,8</v>
      </c>
      <c r="M1123" s="7"/>
      <c r="N1123" s="7"/>
      <c r="O1123" s="7"/>
    </row>
    <row r="1124">
      <c r="A1124" s="29">
        <f>IFERROR(__xludf.DUMMYFUNCTION("""COMPUTED_VALUE"""),1120.0)</f>
        <v>1120</v>
      </c>
      <c r="B1124" s="7" t="str">
        <f>IFERROR(__xludf.DUMMYFUNCTION("""COMPUTED_VALUE"""),"vor 12 Tagen")</f>
        <v>vor 12 Tagen</v>
      </c>
      <c r="C1124" s="7" t="str">
        <f>IFERROR(__xludf.DUMMYFUNCTION("""COMPUTED_VALUE"""),"Product Data Manager (m/w/d)")</f>
        <v>Product Data Manager (m/w/d)</v>
      </c>
      <c r="D1124" s="7" t="str">
        <f>IFERROR(__xludf.DUMMYFUNCTION("""COMPUTED_VALUE"""),"Wuppertal")</f>
        <v>Wuppertal</v>
      </c>
      <c r="E1124" s="7" t="str">
        <f>IFERROR(__xludf.DUMMYFUNCTION("""COMPUTED_VALUE"""),"BPW Aftermarket Group Deutschland GmbH")</f>
        <v>BPW Aftermarket Group Deutschland GmbH</v>
      </c>
      <c r="F1124" s="7" t="str">
        <f>IFERROR(__xludf.DUMMYFUNCTION("""COMPUTED_VALUE"""),"None")</f>
        <v>None</v>
      </c>
      <c r="G1124" s="7" t="str">
        <f>IFERROR(__xludf.DUMMYFUNCTION("""COMPUTED_VALUE"""),"No salary data")</f>
        <v>No salary data</v>
      </c>
      <c r="H1124" s="7" t="str">
        <f>IFERROR(__xludf.DUMMYFUNCTION("""COMPUTED_VALUE"""),"No salary data")</f>
        <v>No salary data</v>
      </c>
      <c r="I1124" s="7" t="str">
        <f>IFERROR(__xludf.DUMMYFUNCTION("""COMPUTED_VALUE"""),"No salary data")</f>
        <v>No salary data</v>
      </c>
      <c r="J1124" s="7"/>
      <c r="K1124" s="7" t="str">
        <f>IFERROR(__xludf.DUMMYFUNCTION("""COMPUTED_VALUE"""),"No job type data")</f>
        <v>No job type data</v>
      </c>
      <c r="L1124" s="7" t="str">
        <f>IFERROR(__xludf.DUMMYFUNCTION("""COMPUTED_VALUE"""),"None")</f>
        <v>None</v>
      </c>
      <c r="M1124" s="7"/>
      <c r="N1124" s="7"/>
      <c r="O1124" s="7"/>
    </row>
    <row r="1125">
      <c r="A1125" s="29">
        <f>IFERROR(__xludf.DUMMYFUNCTION("""COMPUTED_VALUE"""),1121.0)</f>
        <v>1121</v>
      </c>
      <c r="B1125" s="7" t="str">
        <f>IFERROR(__xludf.DUMMYFUNCTION("""COMPUTED_VALUE"""),"Gerade geschaltet")</f>
        <v>Gerade geschaltet</v>
      </c>
      <c r="C1125" s="7" t="str">
        <f>IFERROR(__xludf.DUMMYFUNCTION("""COMPUTED_VALUE"""),"PROJECT MANAGER (M/W/D)")</f>
        <v>PROJECT MANAGER (M/W/D)</v>
      </c>
      <c r="D1125" s="7" t="str">
        <f>IFERROR(__xludf.DUMMYFUNCTION("""COMPUTED_VALUE"""),"Leuna")</f>
        <v>Leuna</v>
      </c>
      <c r="E1125" s="7" t="str">
        <f>IFERROR(__xludf.DUMMYFUNCTION("""COMPUTED_VALUE"""),"Global Bioenergies")</f>
        <v>Global Bioenergies</v>
      </c>
      <c r="F1125" s="7" t="str">
        <f>IFERROR(__xludf.DUMMYFUNCTION("""COMPUTED_VALUE"""),"None")</f>
        <v>None</v>
      </c>
      <c r="G1125" s="7" t="str">
        <f>IFERROR(__xludf.DUMMYFUNCTION("""COMPUTED_VALUE"""),"No salary data")</f>
        <v>No salary data</v>
      </c>
      <c r="H1125" s="7" t="str">
        <f>IFERROR(__xludf.DUMMYFUNCTION("""COMPUTED_VALUE"""),"No salary data")</f>
        <v>No salary data</v>
      </c>
      <c r="I1125" s="7" t="str">
        <f>IFERROR(__xludf.DUMMYFUNCTION("""COMPUTED_VALUE"""),"No salary data")</f>
        <v>No salary data</v>
      </c>
      <c r="J1125" s="7"/>
      <c r="K1125" s="7" t="str">
        <f>IFERROR(__xludf.DUMMYFUNCTION("""COMPUTED_VALUE"""),"Contract")</f>
        <v>Contract</v>
      </c>
      <c r="L1125" s="7" t="str">
        <f>IFERROR(__xludf.DUMMYFUNCTION("""COMPUTED_VALUE"""),"None")</f>
        <v>None</v>
      </c>
      <c r="M1125" s="7"/>
      <c r="N1125" s="7"/>
      <c r="O1125" s="7"/>
    </row>
    <row r="1126">
      <c r="A1126" s="29">
        <f>IFERROR(__xludf.DUMMYFUNCTION("""COMPUTED_VALUE"""),1122.0)</f>
        <v>1122</v>
      </c>
      <c r="B1126" s="7" t="str">
        <f>IFERROR(__xludf.DUMMYFUNCTION("""COMPUTED_VALUE"""),"vor 20 Tagen")</f>
        <v>vor 20 Tagen</v>
      </c>
      <c r="C1126" s="7" t="str">
        <f>IFERROR(__xludf.DUMMYFUNCTION("""COMPUTED_VALUE"""),"Junior DATA Specialist – Schwerpunkt EDI (m/w/d)")</f>
        <v>Junior DATA Specialist – Schwerpunkt EDI (m/w/d)</v>
      </c>
      <c r="D1126" s="7" t="str">
        <f>IFERROR(__xludf.DUMMYFUNCTION("""COMPUTED_VALUE"""),"Fridolfing")</f>
        <v>Fridolfing</v>
      </c>
      <c r="E1126" s="7" t="str">
        <f>IFERROR(__xludf.DUMMYFUNCTION("""COMPUTED_VALUE"""),"Hermann Otto GmbH")</f>
        <v>Hermann Otto GmbH</v>
      </c>
      <c r="F1126" s="7" t="str">
        <f>IFERROR(__xludf.DUMMYFUNCTION("""COMPUTED_VALUE"""),"None")</f>
        <v>None</v>
      </c>
      <c r="G1126" s="7" t="str">
        <f>IFERROR(__xludf.DUMMYFUNCTION("""COMPUTED_VALUE"""),"No salary data")</f>
        <v>No salary data</v>
      </c>
      <c r="H1126" s="7" t="str">
        <f>IFERROR(__xludf.DUMMYFUNCTION("""COMPUTED_VALUE"""),"No salary data")</f>
        <v>No salary data</v>
      </c>
      <c r="I1126" s="7" t="str">
        <f>IFERROR(__xludf.DUMMYFUNCTION("""COMPUTED_VALUE"""),"No salary data")</f>
        <v>No salary data</v>
      </c>
      <c r="J1126" s="7" t="str">
        <f>IFERROR(__xludf.DUMMYFUNCTION("""COMPUTED_VALUE"""),"SQL, Git")</f>
        <v>SQL, Git</v>
      </c>
      <c r="K1126" s="7" t="str">
        <f>IFERROR(__xludf.DUMMYFUNCTION("""COMPUTED_VALUE"""),"No job type data")</f>
        <v>No job type data</v>
      </c>
      <c r="L1126" s="7" t="str">
        <f>IFERROR(__xludf.DUMMYFUNCTION("""COMPUTED_VALUE"""),"None")</f>
        <v>None</v>
      </c>
      <c r="M1126" s="7"/>
      <c r="N1126" s="7"/>
      <c r="O1126" s="7"/>
    </row>
    <row r="1127">
      <c r="A1127" s="29">
        <f>IFERROR(__xludf.DUMMYFUNCTION("""COMPUTED_VALUE"""),1123.0)</f>
        <v>1123</v>
      </c>
      <c r="B1127" s="7" t="str">
        <f>IFERROR(__xludf.DUMMYFUNCTION("""COMPUTED_VALUE"""),"Gerade geschaltet")</f>
        <v>Gerade geschaltet</v>
      </c>
      <c r="C1127" s="7" t="str">
        <f>IFERROR(__xludf.DUMMYFUNCTION("""COMPUTED_VALUE"""),"CRM Data &amp; Lead Management Expert (m/f/d)")</f>
        <v>CRM Data &amp; Lead Management Expert (m/f/d)</v>
      </c>
      <c r="D1127" s="7" t="str">
        <f>IFERROR(__xludf.DUMMYFUNCTION("""COMPUTED_VALUE"""),"Weilheim in Oberbayern")</f>
        <v>Weilheim in Oberbayern</v>
      </c>
      <c r="E1127" s="7" t="str">
        <f>IFERROR(__xludf.DUMMYFUNCTION("""COMPUTED_VALUE"""),"Xylem Analytics Germany GmbH")</f>
        <v>Xylem Analytics Germany GmbH</v>
      </c>
      <c r="F1127" s="7" t="str">
        <f>IFERROR(__xludf.DUMMYFUNCTION("""COMPUTED_VALUE"""),"None")</f>
        <v>None</v>
      </c>
      <c r="G1127" s="7" t="str">
        <f>IFERROR(__xludf.DUMMYFUNCTION("""COMPUTED_VALUE"""),"No salary data")</f>
        <v>No salary data</v>
      </c>
      <c r="H1127" s="7" t="str">
        <f>IFERROR(__xludf.DUMMYFUNCTION("""COMPUTED_VALUE"""),"No salary data")</f>
        <v>No salary data</v>
      </c>
      <c r="I1127" s="7" t="str">
        <f>IFERROR(__xludf.DUMMYFUNCTION("""COMPUTED_VALUE"""),"No salary data")</f>
        <v>No salary data</v>
      </c>
      <c r="J1127" s="7" t="str">
        <f>IFERROR(__xludf.DUMMYFUNCTION("""COMPUTED_VALUE"""),"SQL, Excel, Git")</f>
        <v>SQL, Excel, Git</v>
      </c>
      <c r="K1127" s="7" t="str">
        <f>IFERROR(__xludf.DUMMYFUNCTION("""COMPUTED_VALUE"""),"Full-Time")</f>
        <v>Full-Time</v>
      </c>
      <c r="L1127" s="7" t="str">
        <f>IFERROR(__xludf.DUMMYFUNCTION("""COMPUTED_VALUE"""),"None")</f>
        <v>None</v>
      </c>
      <c r="M1127" s="7"/>
      <c r="N1127" s="7"/>
      <c r="O1127" s="7"/>
    </row>
    <row r="1128">
      <c r="A1128" s="29">
        <f>IFERROR(__xludf.DUMMYFUNCTION("""COMPUTED_VALUE"""),1124.0)</f>
        <v>1124</v>
      </c>
      <c r="B1128" s="7" t="str">
        <f>IFERROR(__xludf.DUMMYFUNCTION("""COMPUTED_VALUE"""),"Gerade geschaltet")</f>
        <v>Gerade geschaltet</v>
      </c>
      <c r="C1128" s="7" t="str">
        <f>IFERROR(__xludf.DUMMYFUNCTION("""COMPUTED_VALUE"""),"Quantitative Consultant")</f>
        <v>Quantitative Consultant</v>
      </c>
      <c r="D1128" s="7" t="str">
        <f>IFERROR(__xludf.DUMMYFUNCTION("""COMPUTED_VALUE"""),"Frankfurt am Main")</f>
        <v>Frankfurt am Main</v>
      </c>
      <c r="E1128" s="7" t="str">
        <f>IFERROR(__xludf.DUMMYFUNCTION("""COMPUTED_VALUE"""),"Albert Cliff")</f>
        <v>Albert Cliff</v>
      </c>
      <c r="F1128" s="7" t="str">
        <f>IFERROR(__xludf.DUMMYFUNCTION("""COMPUTED_VALUE"""),"60,000 € pro Jahr")</f>
        <v>60,000 € pro Jahr</v>
      </c>
      <c r="G1128" s="7">
        <f>IFERROR(__xludf.DUMMYFUNCTION("""COMPUTED_VALUE"""),60000.0)</f>
        <v>60000</v>
      </c>
      <c r="H1128" s="7" t="str">
        <f>IFERROR(__xludf.DUMMYFUNCTION("""COMPUTED_VALUE"""),"Jahr")</f>
        <v>Jahr</v>
      </c>
      <c r="I1128" s="7">
        <f>IFERROR(__xludf.DUMMYFUNCTION("""COMPUTED_VALUE"""),60000.0)</f>
        <v>60000</v>
      </c>
      <c r="J1128" s="7" t="str">
        <f>IFERROR(__xludf.DUMMYFUNCTION("""COMPUTED_VALUE"""),"Python")</f>
        <v>Python</v>
      </c>
      <c r="K1128" s="7" t="str">
        <f>IFERROR(__xludf.DUMMYFUNCTION("""COMPUTED_VALUE"""),"No job type data")</f>
        <v>No job type data</v>
      </c>
      <c r="L1128" s="7" t="str">
        <f>IFERROR(__xludf.DUMMYFUNCTION("""COMPUTED_VALUE"""),"None")</f>
        <v>None</v>
      </c>
      <c r="M1128" s="7"/>
      <c r="N1128" s="7"/>
      <c r="O1128" s="7"/>
    </row>
    <row r="1129">
      <c r="A1129" s="29">
        <f>IFERROR(__xludf.DUMMYFUNCTION("""COMPUTED_VALUE"""),1125.0)</f>
        <v>1125</v>
      </c>
      <c r="B1129" s="7" t="str">
        <f>IFERROR(__xludf.DUMMYFUNCTION("""COMPUTED_VALUE"""),"vor 14 Tagen")</f>
        <v>vor 14 Tagen</v>
      </c>
      <c r="C1129" s="7" t="str">
        <f>IFERROR(__xludf.DUMMYFUNCTION("""COMPUTED_VALUE"""),"Data Engineer (d/m/w)")</f>
        <v>Data Engineer (d/m/w)</v>
      </c>
      <c r="D1129" s="7" t="str">
        <f>IFERROR(__xludf.DUMMYFUNCTION("""COMPUTED_VALUE"""),"Nürnberg")</f>
        <v>Nürnberg</v>
      </c>
      <c r="E1129" s="7" t="str">
        <f>IFERROR(__xludf.DUMMYFUNCTION("""COMPUTED_VALUE"""),"NÜRNBERGER Versicherung")</f>
        <v>NÜRNBERGER Versicherung</v>
      </c>
      <c r="F1129" s="7" t="str">
        <f>IFERROR(__xludf.DUMMYFUNCTION("""COMPUTED_VALUE"""),"None")</f>
        <v>None</v>
      </c>
      <c r="G1129" s="7" t="str">
        <f>IFERROR(__xludf.DUMMYFUNCTION("""COMPUTED_VALUE"""),"No salary data")</f>
        <v>No salary data</v>
      </c>
      <c r="H1129" s="7" t="str">
        <f>IFERROR(__xludf.DUMMYFUNCTION("""COMPUTED_VALUE"""),"No salary data")</f>
        <v>No salary data</v>
      </c>
      <c r="I1129" s="7" t="str">
        <f>IFERROR(__xludf.DUMMYFUNCTION("""COMPUTED_VALUE"""),"No salary data")</f>
        <v>No salary data</v>
      </c>
      <c r="J1129" s="7" t="str">
        <f>IFERROR(__xludf.DUMMYFUNCTION("""COMPUTED_VALUE"""),"SQL, Machine Learning, Agile")</f>
        <v>SQL, Machine Learning, Agile</v>
      </c>
      <c r="K1129" s="7" t="str">
        <f>IFERROR(__xludf.DUMMYFUNCTION("""COMPUTED_VALUE"""),"No job type data")</f>
        <v>No job type data</v>
      </c>
      <c r="L1129" s="7" t="str">
        <f>IFERROR(__xludf.DUMMYFUNCTION("""COMPUTED_VALUE"""),"4,3")</f>
        <v>4,3</v>
      </c>
      <c r="M1129" s="7"/>
      <c r="N1129" s="7"/>
      <c r="O1129" s="7"/>
    </row>
    <row r="1130">
      <c r="A1130" s="29">
        <f>IFERROR(__xludf.DUMMYFUNCTION("""COMPUTED_VALUE"""),1126.0)</f>
        <v>1126</v>
      </c>
      <c r="B1130" s="7" t="str">
        <f>IFERROR(__xludf.DUMMYFUNCTION("""COMPUTED_VALUE"""),"Heute")</f>
        <v>Heute</v>
      </c>
      <c r="C1130" s="7" t="str">
        <f>IFERROR(__xludf.DUMMYFUNCTION("""COMPUTED_VALUE"""),"Quantitative Consultant")</f>
        <v>Quantitative Consultant</v>
      </c>
      <c r="D1130" s="7" t="str">
        <f>IFERROR(__xludf.DUMMYFUNCTION("""COMPUTED_VALUE"""),"Frankfurt am Main")</f>
        <v>Frankfurt am Main</v>
      </c>
      <c r="E1130" s="7" t="str">
        <f>IFERROR(__xludf.DUMMYFUNCTION("""COMPUTED_VALUE"""),"Albert Cliff")</f>
        <v>Albert Cliff</v>
      </c>
      <c r="F1130" s="7" t="str">
        <f>IFERROR(__xludf.DUMMYFUNCTION("""COMPUTED_VALUE"""),"60,000 € pro Jahr")</f>
        <v>60,000 € pro Jahr</v>
      </c>
      <c r="G1130" s="7">
        <f>IFERROR(__xludf.DUMMYFUNCTION("""COMPUTED_VALUE"""),60000.0)</f>
        <v>60000</v>
      </c>
      <c r="H1130" s="7" t="str">
        <f>IFERROR(__xludf.DUMMYFUNCTION("""COMPUTED_VALUE"""),"Jahr")</f>
        <v>Jahr</v>
      </c>
      <c r="I1130" s="7">
        <f>IFERROR(__xludf.DUMMYFUNCTION("""COMPUTED_VALUE"""),60000.0)</f>
        <v>60000</v>
      </c>
      <c r="J1130" s="7" t="str">
        <f>IFERROR(__xludf.DUMMYFUNCTION("""COMPUTED_VALUE"""),"Python")</f>
        <v>Python</v>
      </c>
      <c r="K1130" s="7" t="str">
        <f>IFERROR(__xludf.DUMMYFUNCTION("""COMPUTED_VALUE"""),"No job type data")</f>
        <v>No job type data</v>
      </c>
      <c r="L1130" s="7" t="str">
        <f>IFERROR(__xludf.DUMMYFUNCTION("""COMPUTED_VALUE"""),"None")</f>
        <v>None</v>
      </c>
      <c r="M1130" s="7"/>
      <c r="N1130" s="7"/>
      <c r="O1130" s="7"/>
    </row>
    <row r="1131">
      <c r="A1131" s="29">
        <f>IFERROR(__xludf.DUMMYFUNCTION("""COMPUTED_VALUE"""),1127.0)</f>
        <v>1127</v>
      </c>
      <c r="B1131" s="7" t="str">
        <f>IFERROR(__xludf.DUMMYFUNCTION("""COMPUTED_VALUE"""),"vor 2 Tagen")</f>
        <v>vor 2 Tagen</v>
      </c>
      <c r="C1131" s="7" t="str">
        <f>IFERROR(__xludf.DUMMYFUNCTION("""COMPUTED_VALUE"""),"Dualer Student (m/w/d) Informatik mit Schwerpunkt Computatio...")</f>
        <v>Dualer Student (m/w/d) Informatik mit Schwerpunkt Computatio...</v>
      </c>
      <c r="D1131" s="7" t="str">
        <f>IFERROR(__xludf.DUMMYFUNCTION("""COMPUTED_VALUE"""),"Düsseldorf")</f>
        <v>Düsseldorf</v>
      </c>
      <c r="E1131" s="7" t="str">
        <f>IFERROR(__xludf.DUMMYFUNCTION("""COMPUTED_VALUE"""),"Vodafone Deutschland")</f>
        <v>Vodafone Deutschland</v>
      </c>
      <c r="F1131" s="7" t="str">
        <f>IFERROR(__xludf.DUMMYFUNCTION("""COMPUTED_VALUE"""),"None")</f>
        <v>None</v>
      </c>
      <c r="G1131" s="7" t="str">
        <f>IFERROR(__xludf.DUMMYFUNCTION("""COMPUTED_VALUE"""),"No salary data")</f>
        <v>No salary data</v>
      </c>
      <c r="H1131" s="7" t="str">
        <f>IFERROR(__xludf.DUMMYFUNCTION("""COMPUTED_VALUE"""),"No salary data")</f>
        <v>No salary data</v>
      </c>
      <c r="I1131" s="7" t="str">
        <f>IFERROR(__xludf.DUMMYFUNCTION("""COMPUTED_VALUE"""),"No salary data")</f>
        <v>No salary data</v>
      </c>
      <c r="J1131" s="7" t="str">
        <f>IFERROR(__xludf.DUMMYFUNCTION("""COMPUTED_VALUE"""),"SQL, Machine Learning, Git")</f>
        <v>SQL, Machine Learning, Git</v>
      </c>
      <c r="K1131" s="7" t="str">
        <f>IFERROR(__xludf.DUMMYFUNCTION("""COMPUTED_VALUE"""),"No job type data")</f>
        <v>No job type data</v>
      </c>
      <c r="L1131" s="7" t="str">
        <f>IFERROR(__xludf.DUMMYFUNCTION("""COMPUTED_VALUE"""),"4,0")</f>
        <v>4,0</v>
      </c>
      <c r="M1131" s="7"/>
      <c r="N1131" s="7"/>
      <c r="O1131" s="7"/>
    </row>
    <row r="1132">
      <c r="A1132" s="29">
        <f>IFERROR(__xludf.DUMMYFUNCTION("""COMPUTED_VALUE"""),1128.0)</f>
        <v>1128</v>
      </c>
      <c r="B1132" s="7" t="str">
        <f>IFERROR(__xludf.DUMMYFUNCTION("""COMPUTED_VALUE"""),"vor 2 Tagen")</f>
        <v>vor 2 Tagen</v>
      </c>
      <c r="C1132" s="7" t="str">
        <f>IFERROR(__xludf.DUMMYFUNCTION("""COMPUTED_VALUE"""),"Consultant Automatisierung (m/w/d)")</f>
        <v>Consultant Automatisierung (m/w/d)</v>
      </c>
      <c r="D1132" s="7" t="str">
        <f>IFERROR(__xludf.DUMMYFUNCTION("""COMPUTED_VALUE"""),"Ludwigshafen am Rhein")</f>
        <v>Ludwigshafen am Rhein</v>
      </c>
      <c r="E1132" s="7" t="str">
        <f>IFERROR(__xludf.DUMMYFUNCTION("""COMPUTED_VALUE"""),"Ing. Punzenberger COPA-DATA GmbH")</f>
        <v>Ing. Punzenberger COPA-DATA GmbH</v>
      </c>
      <c r="F1132" s="7" t="str">
        <f>IFERROR(__xludf.DUMMYFUNCTION("""COMPUTED_VALUE"""),"None")</f>
        <v>None</v>
      </c>
      <c r="G1132" s="7" t="str">
        <f>IFERROR(__xludf.DUMMYFUNCTION("""COMPUTED_VALUE"""),"No salary data")</f>
        <v>No salary data</v>
      </c>
      <c r="H1132" s="7" t="str">
        <f>IFERROR(__xludf.DUMMYFUNCTION("""COMPUTED_VALUE"""),"No salary data")</f>
        <v>No salary data</v>
      </c>
      <c r="I1132" s="7" t="str">
        <f>IFERROR(__xludf.DUMMYFUNCTION("""COMPUTED_VALUE"""),"No salary data")</f>
        <v>No salary data</v>
      </c>
      <c r="J1132" s="7"/>
      <c r="K1132" s="7" t="str">
        <f>IFERROR(__xludf.DUMMYFUNCTION("""COMPUTED_VALUE"""),"No job type data")</f>
        <v>No job type data</v>
      </c>
      <c r="L1132" s="7" t="str">
        <f>IFERROR(__xludf.DUMMYFUNCTION("""COMPUTED_VALUE"""),"None")</f>
        <v>None</v>
      </c>
      <c r="M1132" s="7"/>
      <c r="N1132" s="7"/>
      <c r="O1132" s="7"/>
    </row>
    <row r="1133">
      <c r="A1133" s="29">
        <f>IFERROR(__xludf.DUMMYFUNCTION("""COMPUTED_VALUE"""),1129.0)</f>
        <v>1129</v>
      </c>
      <c r="B1133" s="7" t="str">
        <f>IFERROR(__xludf.DUMMYFUNCTION("""COMPUTED_VALUE"""),"Heute")</f>
        <v>Heute</v>
      </c>
      <c r="C1133" s="7" t="str">
        <f>IFERROR(__xludf.DUMMYFUNCTION("""COMPUTED_VALUE"""),"Quantitative Consultant")</f>
        <v>Quantitative Consultant</v>
      </c>
      <c r="D1133" s="7" t="str">
        <f>IFERROR(__xludf.DUMMYFUNCTION("""COMPUTED_VALUE"""),"Frankfurt am Main")</f>
        <v>Frankfurt am Main</v>
      </c>
      <c r="E1133" s="7" t="str">
        <f>IFERROR(__xludf.DUMMYFUNCTION("""COMPUTED_VALUE"""),"Albert Cliff")</f>
        <v>Albert Cliff</v>
      </c>
      <c r="F1133" s="7" t="str">
        <f>IFERROR(__xludf.DUMMYFUNCTION("""COMPUTED_VALUE"""),"60,000 € pro Jahr")</f>
        <v>60,000 € pro Jahr</v>
      </c>
      <c r="G1133" s="7">
        <f>IFERROR(__xludf.DUMMYFUNCTION("""COMPUTED_VALUE"""),60000.0)</f>
        <v>60000</v>
      </c>
      <c r="H1133" s="7" t="str">
        <f>IFERROR(__xludf.DUMMYFUNCTION("""COMPUTED_VALUE"""),"Jahr")</f>
        <v>Jahr</v>
      </c>
      <c r="I1133" s="7">
        <f>IFERROR(__xludf.DUMMYFUNCTION("""COMPUTED_VALUE"""),60000.0)</f>
        <v>60000</v>
      </c>
      <c r="J1133" s="7" t="str">
        <f>IFERROR(__xludf.DUMMYFUNCTION("""COMPUTED_VALUE"""),"Python")</f>
        <v>Python</v>
      </c>
      <c r="K1133" s="7" t="str">
        <f>IFERROR(__xludf.DUMMYFUNCTION("""COMPUTED_VALUE"""),"No job type data")</f>
        <v>No job type data</v>
      </c>
      <c r="L1133" s="7" t="str">
        <f>IFERROR(__xludf.DUMMYFUNCTION("""COMPUTED_VALUE"""),"None")</f>
        <v>None</v>
      </c>
      <c r="M1133" s="7"/>
      <c r="N1133" s="7"/>
      <c r="O1133" s="7"/>
    </row>
    <row r="1134">
      <c r="A1134" s="29">
        <f>IFERROR(__xludf.DUMMYFUNCTION("""COMPUTED_VALUE"""),1130.0)</f>
        <v>1130</v>
      </c>
      <c r="B1134" s="7" t="str">
        <f>IFERROR(__xludf.DUMMYFUNCTION("""COMPUTED_VALUE"""),"vor 12 Tagen")</f>
        <v>vor 12 Tagen</v>
      </c>
      <c r="C1134" s="7" t="str">
        <f>IFERROR(__xludf.DUMMYFUNCTION("""COMPUTED_VALUE"""),"Business Intelligence Developer/Data Warehouse (m/w/d)")</f>
        <v>Business Intelligence Developer/Data Warehouse (m/w/d)</v>
      </c>
      <c r="D1134" s="7" t="str">
        <f>IFERROR(__xludf.DUMMYFUNCTION("""COMPUTED_VALUE"""),"Nürnberg")</f>
        <v>Nürnberg</v>
      </c>
      <c r="E1134" s="7" t="str">
        <f>IFERROR(__xludf.DUMMYFUNCTION("""COMPUTED_VALUE"""),"Immowelt AG")</f>
        <v>Immowelt AG</v>
      </c>
      <c r="F1134" s="7" t="str">
        <f>IFERROR(__xludf.DUMMYFUNCTION("""COMPUTED_VALUE"""),"None")</f>
        <v>None</v>
      </c>
      <c r="G1134" s="7" t="str">
        <f>IFERROR(__xludf.DUMMYFUNCTION("""COMPUTED_VALUE"""),"No salary data")</f>
        <v>No salary data</v>
      </c>
      <c r="H1134" s="7" t="str">
        <f>IFERROR(__xludf.DUMMYFUNCTION("""COMPUTED_VALUE"""),"No salary data")</f>
        <v>No salary data</v>
      </c>
      <c r="I1134" s="7" t="str">
        <f>IFERROR(__xludf.DUMMYFUNCTION("""COMPUTED_VALUE"""),"No salary data")</f>
        <v>No salary data</v>
      </c>
      <c r="J1134" s="7" t="str">
        <f>IFERROR(__xludf.DUMMYFUNCTION("""COMPUTED_VALUE"""),"Python, SQL")</f>
        <v>Python, SQL</v>
      </c>
      <c r="K1134" s="7" t="str">
        <f>IFERROR(__xludf.DUMMYFUNCTION("""COMPUTED_VALUE"""),"No job type data")</f>
        <v>No job type data</v>
      </c>
      <c r="L1134" s="7" t="str">
        <f>IFERROR(__xludf.DUMMYFUNCTION("""COMPUTED_VALUE"""),"3,5")</f>
        <v>3,5</v>
      </c>
      <c r="M1134" s="7"/>
      <c r="N1134" s="7"/>
      <c r="O1134" s="7"/>
    </row>
    <row r="1135">
      <c r="A1135" s="29">
        <f>IFERROR(__xludf.DUMMYFUNCTION("""COMPUTED_VALUE"""),1131.0)</f>
        <v>1131</v>
      </c>
      <c r="B1135" s="7" t="str">
        <f>IFERROR(__xludf.DUMMYFUNCTION("""COMPUTED_VALUE"""),"vor 6 Tagen")</f>
        <v>vor 6 Tagen</v>
      </c>
      <c r="C1135" s="7" t="str">
        <f>IFERROR(__xludf.DUMMYFUNCTION("""COMPUTED_VALUE"""),"Mitarbeiter (m/w/d) Business Application Management - Schwer...")</f>
        <v>Mitarbeiter (m/w/d) Business Application Management - Schwer...</v>
      </c>
      <c r="D1135" s="7" t="str">
        <f>IFERROR(__xludf.DUMMYFUNCTION("""COMPUTED_VALUE"""),"Emlichheim")</f>
        <v>Emlichheim</v>
      </c>
      <c r="E1135" s="7" t="str">
        <f>IFERROR(__xludf.DUMMYFUNCTION("""COMPUTED_VALUE"""),"Emsland Group")</f>
        <v>Emsland Group</v>
      </c>
      <c r="F1135" s="7" t="str">
        <f>IFERROR(__xludf.DUMMYFUNCTION("""COMPUTED_VALUE"""),"None")</f>
        <v>None</v>
      </c>
      <c r="G1135" s="7" t="str">
        <f>IFERROR(__xludf.DUMMYFUNCTION("""COMPUTED_VALUE"""),"No salary data")</f>
        <v>No salary data</v>
      </c>
      <c r="H1135" s="7" t="str">
        <f>IFERROR(__xludf.DUMMYFUNCTION("""COMPUTED_VALUE"""),"No salary data")</f>
        <v>No salary data</v>
      </c>
      <c r="I1135" s="7" t="str">
        <f>IFERROR(__xludf.DUMMYFUNCTION("""COMPUTED_VALUE"""),"No salary data")</f>
        <v>No salary data</v>
      </c>
      <c r="J1135" s="7" t="str">
        <f>IFERROR(__xludf.DUMMYFUNCTION("""COMPUTED_VALUE"""),"SQL")</f>
        <v>SQL</v>
      </c>
      <c r="K1135" s="7" t="str">
        <f>IFERROR(__xludf.DUMMYFUNCTION("""COMPUTED_VALUE"""),"No job type data")</f>
        <v>No job type data</v>
      </c>
      <c r="L1135" s="7" t="str">
        <f>IFERROR(__xludf.DUMMYFUNCTION("""COMPUTED_VALUE"""),"None")</f>
        <v>None</v>
      </c>
      <c r="M1135" s="7"/>
      <c r="N1135" s="7"/>
      <c r="O1135" s="7"/>
    </row>
    <row r="1136">
      <c r="A1136" s="29">
        <f>IFERROR(__xludf.DUMMYFUNCTION("""COMPUTED_VALUE"""),1132.0)</f>
        <v>1132</v>
      </c>
      <c r="B1136" s="7" t="str">
        <f>IFERROR(__xludf.DUMMYFUNCTION("""COMPUTED_VALUE"""),"vor 13 Tagen")</f>
        <v>vor 13 Tagen</v>
      </c>
      <c r="C1136" s="7" t="str">
        <f>IFERROR(__xludf.DUMMYFUNCTION("""COMPUTED_VALUE"""),"Business Intelligence Developer/Data Warehouse (m/w/d)")</f>
        <v>Business Intelligence Developer/Data Warehouse (m/w/d)</v>
      </c>
      <c r="D1136" s="7" t="str">
        <f>IFERROR(__xludf.DUMMYFUNCTION("""COMPUTED_VALUE"""),"Nürnberg")</f>
        <v>Nürnberg</v>
      </c>
      <c r="E1136" s="7" t="str">
        <f>IFERROR(__xludf.DUMMYFUNCTION("""COMPUTED_VALUE"""),"Immowelt AG")</f>
        <v>Immowelt AG</v>
      </c>
      <c r="F1136" s="7" t="str">
        <f>IFERROR(__xludf.DUMMYFUNCTION("""COMPUTED_VALUE"""),"None")</f>
        <v>None</v>
      </c>
      <c r="G1136" s="7" t="str">
        <f>IFERROR(__xludf.DUMMYFUNCTION("""COMPUTED_VALUE"""),"No salary data")</f>
        <v>No salary data</v>
      </c>
      <c r="H1136" s="7" t="str">
        <f>IFERROR(__xludf.DUMMYFUNCTION("""COMPUTED_VALUE"""),"No salary data")</f>
        <v>No salary data</v>
      </c>
      <c r="I1136" s="7" t="str">
        <f>IFERROR(__xludf.DUMMYFUNCTION("""COMPUTED_VALUE"""),"No salary data")</f>
        <v>No salary data</v>
      </c>
      <c r="J1136" s="7" t="str">
        <f>IFERROR(__xludf.DUMMYFUNCTION("""COMPUTED_VALUE"""),"Python, SQL")</f>
        <v>Python, SQL</v>
      </c>
      <c r="K1136" s="7" t="str">
        <f>IFERROR(__xludf.DUMMYFUNCTION("""COMPUTED_VALUE"""),"No job type data")</f>
        <v>No job type data</v>
      </c>
      <c r="L1136" s="7" t="str">
        <f>IFERROR(__xludf.DUMMYFUNCTION("""COMPUTED_VALUE"""),"3,5")</f>
        <v>3,5</v>
      </c>
      <c r="M1136" s="7"/>
      <c r="N1136" s="7"/>
      <c r="O1136" s="7"/>
    </row>
    <row r="1137">
      <c r="A1137" s="29">
        <f>IFERROR(__xludf.DUMMYFUNCTION("""COMPUTED_VALUE"""),1133.0)</f>
        <v>1133</v>
      </c>
      <c r="B1137" s="7" t="str">
        <f>IFERROR(__xludf.DUMMYFUNCTION("""COMPUTED_VALUE"""),"vor 17 Tagen")</f>
        <v>vor 17 Tagen</v>
      </c>
      <c r="C1137" s="7" t="str">
        <f>IFERROR(__xludf.DUMMYFUNCTION("""COMPUTED_VALUE"""),"Senior Researcher Machine Learning (m/f/d) for Leading Resea...")</f>
        <v>Senior Researcher Machine Learning (m/f/d) for Leading Resea...</v>
      </c>
      <c r="D1137" s="7" t="str">
        <f>IFERROR(__xludf.DUMMYFUNCTION("""COMPUTED_VALUE"""),"Berlin")</f>
        <v>Berlin</v>
      </c>
      <c r="E1137" s="7" t="str">
        <f>IFERROR(__xludf.DUMMYFUNCTION("""COMPUTED_VALUE"""),"Glocomms")</f>
        <v>Glocomms</v>
      </c>
      <c r="F1137" s="7" t="str">
        <f>IFERROR(__xludf.DUMMYFUNCTION("""COMPUTED_VALUE"""),"60,000 € - 100,000 € pro Jahr")</f>
        <v>60,000 € - 100,000 € pro Jahr</v>
      </c>
      <c r="G1137" s="7">
        <f>IFERROR(__xludf.DUMMYFUNCTION("""COMPUTED_VALUE"""),80000.0)</f>
        <v>80000</v>
      </c>
      <c r="H1137" s="7" t="str">
        <f>IFERROR(__xludf.DUMMYFUNCTION("""COMPUTED_VALUE"""),"Jahr")</f>
        <v>Jahr</v>
      </c>
      <c r="I1137" s="7">
        <f>IFERROR(__xludf.DUMMYFUNCTION("""COMPUTED_VALUE"""),80000.0)</f>
        <v>80000</v>
      </c>
      <c r="J1137" s="7" t="str">
        <f>IFERROR(__xludf.DUMMYFUNCTION("""COMPUTED_VALUE"""),"Python, Machine Learning")</f>
        <v>Python, Machine Learning</v>
      </c>
      <c r="K1137" s="7" t="str">
        <f>IFERROR(__xludf.DUMMYFUNCTION("""COMPUTED_VALUE"""),"No job type data")</f>
        <v>No job type data</v>
      </c>
      <c r="L1137" s="7" t="str">
        <f>IFERROR(__xludf.DUMMYFUNCTION("""COMPUTED_VALUE"""),"None")</f>
        <v>None</v>
      </c>
      <c r="M1137" s="7"/>
      <c r="N1137" s="7"/>
      <c r="O1137" s="7"/>
    </row>
    <row r="1138">
      <c r="A1138" s="29">
        <f>IFERROR(__xludf.DUMMYFUNCTION("""COMPUTED_VALUE"""),1134.0)</f>
        <v>1134</v>
      </c>
      <c r="B1138" s="7" t="str">
        <f>IFERROR(__xludf.DUMMYFUNCTION("""COMPUTED_VALUE"""),"vor 13 Tagen")</f>
        <v>vor 13 Tagen</v>
      </c>
      <c r="C1138" s="7" t="str">
        <f>IFERROR(__xludf.DUMMYFUNCTION("""COMPUTED_VALUE"""),"Business Intelligence Developer/Data Warehouse (m/w/d)")</f>
        <v>Business Intelligence Developer/Data Warehouse (m/w/d)</v>
      </c>
      <c r="D1138" s="7" t="str">
        <f>IFERROR(__xludf.DUMMYFUNCTION("""COMPUTED_VALUE"""),"Nürnberg")</f>
        <v>Nürnberg</v>
      </c>
      <c r="E1138" s="7" t="str">
        <f>IFERROR(__xludf.DUMMYFUNCTION("""COMPUTED_VALUE"""),"Immowelt AG")</f>
        <v>Immowelt AG</v>
      </c>
      <c r="F1138" s="7" t="str">
        <f>IFERROR(__xludf.DUMMYFUNCTION("""COMPUTED_VALUE"""),"None")</f>
        <v>None</v>
      </c>
      <c r="G1138" s="7" t="str">
        <f>IFERROR(__xludf.DUMMYFUNCTION("""COMPUTED_VALUE"""),"No salary data")</f>
        <v>No salary data</v>
      </c>
      <c r="H1138" s="7" t="str">
        <f>IFERROR(__xludf.DUMMYFUNCTION("""COMPUTED_VALUE"""),"No salary data")</f>
        <v>No salary data</v>
      </c>
      <c r="I1138" s="7" t="str">
        <f>IFERROR(__xludf.DUMMYFUNCTION("""COMPUTED_VALUE"""),"No salary data")</f>
        <v>No salary data</v>
      </c>
      <c r="J1138" s="7" t="str">
        <f>IFERROR(__xludf.DUMMYFUNCTION("""COMPUTED_VALUE"""),"Python, SQL")</f>
        <v>Python, SQL</v>
      </c>
      <c r="K1138" s="7" t="str">
        <f>IFERROR(__xludf.DUMMYFUNCTION("""COMPUTED_VALUE"""),"No job type data")</f>
        <v>No job type data</v>
      </c>
      <c r="L1138" s="7" t="str">
        <f>IFERROR(__xludf.DUMMYFUNCTION("""COMPUTED_VALUE"""),"3,5")</f>
        <v>3,5</v>
      </c>
      <c r="M1138" s="7"/>
      <c r="N1138" s="7"/>
      <c r="O1138" s="7"/>
    </row>
    <row r="1139">
      <c r="A1139" s="29">
        <f>IFERROR(__xludf.DUMMYFUNCTION("""COMPUTED_VALUE"""),1135.0)</f>
        <v>1135</v>
      </c>
      <c r="B1139" s="7" t="str">
        <f>IFERROR(__xludf.DUMMYFUNCTION("""COMPUTED_VALUE"""),"Vor mehr als 30 Tagen")</f>
        <v>Vor mehr als 30 Tagen</v>
      </c>
      <c r="C1139" s="7" t="str">
        <f>IFERROR(__xludf.DUMMYFUNCTION("""COMPUTED_VALUE"""),"Consultant Machine Learning Engineering (m/w/d)")</f>
        <v>Consultant Machine Learning Engineering (m/w/d)</v>
      </c>
      <c r="D1139" s="7" t="str">
        <f>IFERROR(__xludf.DUMMYFUNCTION("""COMPUTED_VALUE"""),"Deutschland")</f>
        <v>Deutschland</v>
      </c>
      <c r="E1139" s="7" t="str">
        <f>IFERROR(__xludf.DUMMYFUNCTION("""COMPUTED_VALUE"""),"mayato GmbH")</f>
        <v>mayato GmbH</v>
      </c>
      <c r="F1139" s="7" t="str">
        <f>IFERROR(__xludf.DUMMYFUNCTION("""COMPUTED_VALUE"""),"None")</f>
        <v>None</v>
      </c>
      <c r="G1139" s="7" t="str">
        <f>IFERROR(__xludf.DUMMYFUNCTION("""COMPUTED_VALUE"""),"No salary data")</f>
        <v>No salary data</v>
      </c>
      <c r="H1139" s="7" t="str">
        <f>IFERROR(__xludf.DUMMYFUNCTION("""COMPUTED_VALUE"""),"No salary data")</f>
        <v>No salary data</v>
      </c>
      <c r="I1139" s="7" t="str">
        <f>IFERROR(__xludf.DUMMYFUNCTION("""COMPUTED_VALUE"""),"No salary data")</f>
        <v>No salary data</v>
      </c>
      <c r="J1139" s="7" t="str">
        <f>IFERROR(__xludf.DUMMYFUNCTION("""COMPUTED_VALUE"""),"Python, Machine Learning, Git")</f>
        <v>Python, Machine Learning, Git</v>
      </c>
      <c r="K1139" s="7" t="str">
        <f>IFERROR(__xludf.DUMMYFUNCTION("""COMPUTED_VALUE"""),"No job type data")</f>
        <v>No job type data</v>
      </c>
      <c r="L1139" s="7" t="str">
        <f>IFERROR(__xludf.DUMMYFUNCTION("""COMPUTED_VALUE"""),"4,8")</f>
        <v>4,8</v>
      </c>
      <c r="M1139" s="7"/>
      <c r="N1139" s="7"/>
      <c r="O1139" s="7"/>
    </row>
    <row r="1140">
      <c r="A1140" s="29">
        <f>IFERROR(__xludf.DUMMYFUNCTION("""COMPUTED_VALUE"""),1136.0)</f>
        <v>1136</v>
      </c>
      <c r="B1140" s="7" t="str">
        <f>IFERROR(__xludf.DUMMYFUNCTION("""COMPUTED_VALUE"""),"Vor mehr als 30 Tagen")</f>
        <v>Vor mehr als 30 Tagen</v>
      </c>
      <c r="C1140" s="7" t="str">
        <f>IFERROR(__xludf.DUMMYFUNCTION("""COMPUTED_VALUE"""),"Duales Studium 2021: B.Sc. Wirtschaftsinformatik (w/m/d)")</f>
        <v>Duales Studium 2021: B.Sc. Wirtschaftsinformatik (w/m/d)</v>
      </c>
      <c r="D1140" s="7" t="str">
        <f>IFERROR(__xludf.DUMMYFUNCTION("""COMPUTED_VALUE"""),"Stuttgart")</f>
        <v>Stuttgart</v>
      </c>
      <c r="E1140" s="7" t="str">
        <f>IFERROR(__xludf.DUMMYFUNCTION("""COMPUTED_VALUE"""),"Fujitsu Technology Solutions GmbH")</f>
        <v>Fujitsu Technology Solutions GmbH</v>
      </c>
      <c r="F1140" s="7" t="str">
        <f>IFERROR(__xludf.DUMMYFUNCTION("""COMPUTED_VALUE"""),"None")</f>
        <v>None</v>
      </c>
      <c r="G1140" s="7" t="str">
        <f>IFERROR(__xludf.DUMMYFUNCTION("""COMPUTED_VALUE"""),"No salary data")</f>
        <v>No salary data</v>
      </c>
      <c r="H1140" s="7" t="str">
        <f>IFERROR(__xludf.DUMMYFUNCTION("""COMPUTED_VALUE"""),"No salary data")</f>
        <v>No salary data</v>
      </c>
      <c r="I1140" s="7" t="str">
        <f>IFERROR(__xludf.DUMMYFUNCTION("""COMPUTED_VALUE"""),"No salary data")</f>
        <v>No salary data</v>
      </c>
      <c r="J1140" s="7"/>
      <c r="K1140" s="7" t="str">
        <f>IFERROR(__xludf.DUMMYFUNCTION("""COMPUTED_VALUE"""),"No job type data")</f>
        <v>No job type data</v>
      </c>
      <c r="L1140" s="7" t="str">
        <f>IFERROR(__xludf.DUMMYFUNCTION("""COMPUTED_VALUE"""),"3,7")</f>
        <v>3,7</v>
      </c>
      <c r="M1140" s="7"/>
      <c r="N1140" s="7"/>
      <c r="O1140" s="7"/>
    </row>
    <row r="1141">
      <c r="A1141" s="29">
        <f>IFERROR(__xludf.DUMMYFUNCTION("""COMPUTED_VALUE"""),1137.0)</f>
        <v>1137</v>
      </c>
      <c r="B1141" s="7" t="str">
        <f>IFERROR(__xludf.DUMMYFUNCTION("""COMPUTED_VALUE"""),"Gerade geschaltet")</f>
        <v>Gerade geschaltet</v>
      </c>
      <c r="C1141" s="7" t="str">
        <f>IFERROR(__xludf.DUMMYFUNCTION("""COMPUTED_VALUE"""),"CRM Data &amp; Lead Management Expert (m/f/d)")</f>
        <v>CRM Data &amp; Lead Management Expert (m/f/d)</v>
      </c>
      <c r="D1141" s="7" t="str">
        <f>IFERROR(__xludf.DUMMYFUNCTION("""COMPUTED_VALUE"""),"Weilheim in Oberbayern")</f>
        <v>Weilheim in Oberbayern</v>
      </c>
      <c r="E1141" s="7" t="str">
        <f>IFERROR(__xludf.DUMMYFUNCTION("""COMPUTED_VALUE"""),"Xylem Analytics Germany GmbH")</f>
        <v>Xylem Analytics Germany GmbH</v>
      </c>
      <c r="F1141" s="7" t="str">
        <f>IFERROR(__xludf.DUMMYFUNCTION("""COMPUTED_VALUE"""),"None")</f>
        <v>None</v>
      </c>
      <c r="G1141" s="7" t="str">
        <f>IFERROR(__xludf.DUMMYFUNCTION("""COMPUTED_VALUE"""),"No salary data")</f>
        <v>No salary data</v>
      </c>
      <c r="H1141" s="7" t="str">
        <f>IFERROR(__xludf.DUMMYFUNCTION("""COMPUTED_VALUE"""),"No salary data")</f>
        <v>No salary data</v>
      </c>
      <c r="I1141" s="7" t="str">
        <f>IFERROR(__xludf.DUMMYFUNCTION("""COMPUTED_VALUE"""),"No salary data")</f>
        <v>No salary data</v>
      </c>
      <c r="J1141" s="7" t="str">
        <f>IFERROR(__xludf.DUMMYFUNCTION("""COMPUTED_VALUE"""),"SQL, Excel, Git")</f>
        <v>SQL, Excel, Git</v>
      </c>
      <c r="K1141" s="7" t="str">
        <f>IFERROR(__xludf.DUMMYFUNCTION("""COMPUTED_VALUE"""),"Full-Time")</f>
        <v>Full-Time</v>
      </c>
      <c r="L1141" s="7" t="str">
        <f>IFERROR(__xludf.DUMMYFUNCTION("""COMPUTED_VALUE"""),"None")</f>
        <v>None</v>
      </c>
      <c r="M1141" s="7"/>
      <c r="N1141" s="7"/>
      <c r="O1141" s="7"/>
    </row>
    <row r="1142">
      <c r="A1142" s="29">
        <f>IFERROR(__xludf.DUMMYFUNCTION("""COMPUTED_VALUE"""),1138.0)</f>
        <v>1138</v>
      </c>
      <c r="B1142" s="7" t="str">
        <f>IFERROR(__xludf.DUMMYFUNCTION("""COMPUTED_VALUE"""),"vor 4 Tagen")</f>
        <v>vor 4 Tagen</v>
      </c>
      <c r="C1142" s="7" t="str">
        <f>IFERROR(__xludf.DUMMYFUNCTION("""COMPUTED_VALUE"""),"Director Enterprise")</f>
        <v>Director Enterprise</v>
      </c>
      <c r="D1142" s="7" t="str">
        <f>IFERROR(__xludf.DUMMYFUNCTION("""COMPUTED_VALUE"""),"München")</f>
        <v>München</v>
      </c>
      <c r="E1142" s="7" t="str">
        <f>IFERROR(__xludf.DUMMYFUNCTION("""COMPUTED_VALUE"""),"Veeam")</f>
        <v>Veeam</v>
      </c>
      <c r="F1142" s="7" t="str">
        <f>IFERROR(__xludf.DUMMYFUNCTION("""COMPUTED_VALUE"""),"None")</f>
        <v>None</v>
      </c>
      <c r="G1142" s="7" t="str">
        <f>IFERROR(__xludf.DUMMYFUNCTION("""COMPUTED_VALUE"""),"No salary data")</f>
        <v>No salary data</v>
      </c>
      <c r="H1142" s="7" t="str">
        <f>IFERROR(__xludf.DUMMYFUNCTION("""COMPUTED_VALUE"""),"No salary data")</f>
        <v>No salary data</v>
      </c>
      <c r="I1142" s="7" t="str">
        <f>IFERROR(__xludf.DUMMYFUNCTION("""COMPUTED_VALUE"""),"No salary data")</f>
        <v>No salary data</v>
      </c>
      <c r="J1142" s="7" t="str">
        <f>IFERROR(__xludf.DUMMYFUNCTION("""COMPUTED_VALUE"""),"Excel")</f>
        <v>Excel</v>
      </c>
      <c r="K1142" s="7" t="str">
        <f>IFERROR(__xludf.DUMMYFUNCTION("""COMPUTED_VALUE"""),"No job type data")</f>
        <v>No job type data</v>
      </c>
      <c r="L1142" s="7" t="str">
        <f>IFERROR(__xludf.DUMMYFUNCTION("""COMPUTED_VALUE"""),"3,5")</f>
        <v>3,5</v>
      </c>
      <c r="M1142" s="7"/>
      <c r="N1142" s="7"/>
      <c r="O1142" s="7"/>
    </row>
    <row r="1143">
      <c r="A1143" s="29">
        <f>IFERROR(__xludf.DUMMYFUNCTION("""COMPUTED_VALUE"""),1139.0)</f>
        <v>1139</v>
      </c>
      <c r="B1143" s="7" t="str">
        <f>IFERROR(__xludf.DUMMYFUNCTION("""COMPUTED_VALUE"""),"Vor mehr als 30 Tagen")</f>
        <v>Vor mehr als 30 Tagen</v>
      </c>
      <c r="C1143" s="7" t="str">
        <f>IFERROR(__xludf.DUMMYFUNCTION("""COMPUTED_VALUE"""),"Python Developer")</f>
        <v>Python Developer</v>
      </c>
      <c r="D1143" s="7" t="str">
        <f>IFERROR(__xludf.DUMMYFUNCTION("""COMPUTED_VALUE"""),"Hannover")</f>
        <v>Hannover</v>
      </c>
      <c r="E1143" s="7" t="str">
        <f>IFERROR(__xludf.DUMMYFUNCTION("""COMPUTED_VALUE"""),"Brunel")</f>
        <v>Brunel</v>
      </c>
      <c r="F1143" s="7" t="str">
        <f>IFERROR(__xludf.DUMMYFUNCTION("""COMPUTED_VALUE"""),"None")</f>
        <v>None</v>
      </c>
      <c r="G1143" s="7" t="str">
        <f>IFERROR(__xludf.DUMMYFUNCTION("""COMPUTED_VALUE"""),"No salary data")</f>
        <v>No salary data</v>
      </c>
      <c r="H1143" s="7" t="str">
        <f>IFERROR(__xludf.DUMMYFUNCTION("""COMPUTED_VALUE"""),"No salary data")</f>
        <v>No salary data</v>
      </c>
      <c r="I1143" s="7" t="str">
        <f>IFERROR(__xludf.DUMMYFUNCTION("""COMPUTED_VALUE"""),"No salary data")</f>
        <v>No salary data</v>
      </c>
      <c r="J1143" s="7" t="str">
        <f>IFERROR(__xludf.DUMMYFUNCTION("""COMPUTED_VALUE"""),"Python, SQL, Machine Learning, Git")</f>
        <v>Python, SQL, Machine Learning, Git</v>
      </c>
      <c r="K1143" s="7" t="str">
        <f>IFERROR(__xludf.DUMMYFUNCTION("""COMPUTED_VALUE"""),"No job type data")</f>
        <v>No job type data</v>
      </c>
      <c r="L1143" s="7" t="str">
        <f>IFERROR(__xludf.DUMMYFUNCTION("""COMPUTED_VALUE"""),"3,9")</f>
        <v>3,9</v>
      </c>
      <c r="M1143" s="7"/>
      <c r="N1143" s="7"/>
      <c r="O1143" s="7"/>
    </row>
    <row r="1144">
      <c r="A1144" s="29">
        <f>IFERROR(__xludf.DUMMYFUNCTION("""COMPUTED_VALUE"""),1140.0)</f>
        <v>1140</v>
      </c>
      <c r="B1144" s="7" t="str">
        <f>IFERROR(__xludf.DUMMYFUNCTION("""COMPUTED_VALUE"""),"vor 2 Tagen")</f>
        <v>vor 2 Tagen</v>
      </c>
      <c r="C1144" s="7" t="str">
        <f>IFERROR(__xludf.DUMMYFUNCTION("""COMPUTED_VALUE"""),"Consultant Automatisierung (m/w/d)")</f>
        <v>Consultant Automatisierung (m/w/d)</v>
      </c>
      <c r="D1144" s="7" t="str">
        <f>IFERROR(__xludf.DUMMYFUNCTION("""COMPUTED_VALUE"""),"Ottobrunn")</f>
        <v>Ottobrunn</v>
      </c>
      <c r="E1144" s="7" t="str">
        <f>IFERROR(__xludf.DUMMYFUNCTION("""COMPUTED_VALUE"""),"Ing. Punzenberger COPA-DATA GmbH")</f>
        <v>Ing. Punzenberger COPA-DATA GmbH</v>
      </c>
      <c r="F1144" s="7" t="str">
        <f>IFERROR(__xludf.DUMMYFUNCTION("""COMPUTED_VALUE"""),"None")</f>
        <v>None</v>
      </c>
      <c r="G1144" s="7" t="str">
        <f>IFERROR(__xludf.DUMMYFUNCTION("""COMPUTED_VALUE"""),"No salary data")</f>
        <v>No salary data</v>
      </c>
      <c r="H1144" s="7" t="str">
        <f>IFERROR(__xludf.DUMMYFUNCTION("""COMPUTED_VALUE"""),"No salary data")</f>
        <v>No salary data</v>
      </c>
      <c r="I1144" s="7" t="str">
        <f>IFERROR(__xludf.DUMMYFUNCTION("""COMPUTED_VALUE"""),"No salary data")</f>
        <v>No salary data</v>
      </c>
      <c r="J1144" s="7"/>
      <c r="K1144" s="7" t="str">
        <f>IFERROR(__xludf.DUMMYFUNCTION("""COMPUTED_VALUE"""),"No job type data")</f>
        <v>No job type data</v>
      </c>
      <c r="L1144" s="7" t="str">
        <f>IFERROR(__xludf.DUMMYFUNCTION("""COMPUTED_VALUE"""),"None")</f>
        <v>None</v>
      </c>
      <c r="M1144" s="7"/>
      <c r="N1144" s="7"/>
      <c r="O1144" s="7"/>
    </row>
    <row r="1145">
      <c r="A1145" s="29">
        <f>IFERROR(__xludf.DUMMYFUNCTION("""COMPUTED_VALUE"""),1141.0)</f>
        <v>1141</v>
      </c>
      <c r="B1145" s="7" t="str">
        <f>IFERROR(__xludf.DUMMYFUNCTION("""COMPUTED_VALUE"""),"vor 10 Tagen")</f>
        <v>vor 10 Tagen</v>
      </c>
      <c r="C1145" s="7" t="str">
        <f>IFERROR(__xludf.DUMMYFUNCTION("""COMPUTED_VALUE"""),"(Senior) Data Scientist (f/m/d)")</f>
        <v>(Senior) Data Scientist (f/m/d)</v>
      </c>
      <c r="D1145" s="7" t="str">
        <f>IFERROR(__xludf.DUMMYFUNCTION("""COMPUTED_VALUE"""),"Düsseldorf")</f>
        <v>Düsseldorf</v>
      </c>
      <c r="E1145" s="7" t="str">
        <f>IFERROR(__xludf.DUMMYFUNCTION("""COMPUTED_VALUE"""),"FRED Executive Search GmbH")</f>
        <v>FRED Executive Search GmbH</v>
      </c>
      <c r="F1145" s="7" t="str">
        <f>IFERROR(__xludf.DUMMYFUNCTION("""COMPUTED_VALUE"""),"None")</f>
        <v>None</v>
      </c>
      <c r="G1145" s="7" t="str">
        <f>IFERROR(__xludf.DUMMYFUNCTION("""COMPUTED_VALUE"""),"No salary data")</f>
        <v>No salary data</v>
      </c>
      <c r="H1145" s="7" t="str">
        <f>IFERROR(__xludf.DUMMYFUNCTION("""COMPUTED_VALUE"""),"No salary data")</f>
        <v>No salary data</v>
      </c>
      <c r="I1145" s="7" t="str">
        <f>IFERROR(__xludf.DUMMYFUNCTION("""COMPUTED_VALUE"""),"No salary data")</f>
        <v>No salary data</v>
      </c>
      <c r="J1145" s="7" t="str">
        <f>IFERROR(__xludf.DUMMYFUNCTION("""COMPUTED_VALUE"""),"Python, SQL, Tableau, Excel, Machine Learning, Statistic, Git")</f>
        <v>Python, SQL, Tableau, Excel, Machine Learning, Statistic, Git</v>
      </c>
      <c r="K1145" s="7" t="str">
        <f>IFERROR(__xludf.DUMMYFUNCTION("""COMPUTED_VALUE"""),"No job type data")</f>
        <v>No job type data</v>
      </c>
      <c r="L1145" s="7" t="str">
        <f>IFERROR(__xludf.DUMMYFUNCTION("""COMPUTED_VALUE"""),"None")</f>
        <v>None</v>
      </c>
      <c r="M1145" s="7"/>
      <c r="N1145" s="7"/>
      <c r="O1145" s="7"/>
    </row>
    <row r="1146">
      <c r="A1146" s="29">
        <f>IFERROR(__xludf.DUMMYFUNCTION("""COMPUTED_VALUE"""),1142.0)</f>
        <v>1142</v>
      </c>
      <c r="B1146" s="7" t="str">
        <f>IFERROR(__xludf.DUMMYFUNCTION("""COMPUTED_VALUE"""),"vor 7 Tagen")</f>
        <v>vor 7 Tagen</v>
      </c>
      <c r="C1146" s="7" t="str">
        <f>IFERROR(__xludf.DUMMYFUNCTION("""COMPUTED_VALUE"""),"C# Developer")</f>
        <v>C# Developer</v>
      </c>
      <c r="D1146" s="7" t="str">
        <f>IFERROR(__xludf.DUMMYFUNCTION("""COMPUTED_VALUE"""),"München")</f>
        <v>München</v>
      </c>
      <c r="E1146" s="7" t="str">
        <f>IFERROR(__xludf.DUMMYFUNCTION("""COMPUTED_VALUE"""),"Who Needs Engineers")</f>
        <v>Who Needs Engineers</v>
      </c>
      <c r="F1146" s="7" t="str">
        <f>IFERROR(__xludf.DUMMYFUNCTION("""COMPUTED_VALUE"""),"60,000 € - 90,000 € pro Jahr")</f>
        <v>60,000 € - 90,000 € pro Jahr</v>
      </c>
      <c r="G1146" s="7">
        <f>IFERROR(__xludf.DUMMYFUNCTION("""COMPUTED_VALUE"""),75000.0)</f>
        <v>75000</v>
      </c>
      <c r="H1146" s="7" t="str">
        <f>IFERROR(__xludf.DUMMYFUNCTION("""COMPUTED_VALUE"""),"Jahr")</f>
        <v>Jahr</v>
      </c>
      <c r="I1146" s="7">
        <f>IFERROR(__xludf.DUMMYFUNCTION("""COMPUTED_VALUE"""),75000.0)</f>
        <v>75000</v>
      </c>
      <c r="J1146" s="7" t="str">
        <f>IFERROR(__xludf.DUMMYFUNCTION("""COMPUTED_VALUE"""),"SQL")</f>
        <v>SQL</v>
      </c>
      <c r="K1146" s="7" t="str">
        <f>IFERROR(__xludf.DUMMYFUNCTION("""COMPUTED_VALUE"""),"Permanent")</f>
        <v>Permanent</v>
      </c>
      <c r="L1146" s="7" t="str">
        <f>IFERROR(__xludf.DUMMYFUNCTION("""COMPUTED_VALUE"""),"None")</f>
        <v>None</v>
      </c>
      <c r="M1146" s="7"/>
      <c r="N1146" s="7"/>
      <c r="O1146" s="7"/>
    </row>
    <row r="1147">
      <c r="A1147" s="29">
        <f>IFERROR(__xludf.DUMMYFUNCTION("""COMPUTED_VALUE"""),1143.0)</f>
        <v>1143</v>
      </c>
      <c r="B1147" s="7" t="str">
        <f>IFERROR(__xludf.DUMMYFUNCTION("""COMPUTED_VALUE"""),"vor 15 Tagen")</f>
        <v>vor 15 Tagen</v>
      </c>
      <c r="C1147" s="7" t="str">
        <f>IFERROR(__xludf.DUMMYFUNCTION("""COMPUTED_VALUE"""),"Junior Software Engineer (m/w/d)")</f>
        <v>Junior Software Engineer (m/w/d)</v>
      </c>
      <c r="D1147" s="7" t="str">
        <f>IFERROR(__xludf.DUMMYFUNCTION("""COMPUTED_VALUE"""),"München")</f>
        <v>München</v>
      </c>
      <c r="E1147" s="7" t="str">
        <f>IFERROR(__xludf.DUMMYFUNCTION("""COMPUTED_VALUE"""),"DEVnet GmbH")</f>
        <v>DEVnet GmbH</v>
      </c>
      <c r="F1147" s="7" t="str">
        <f>IFERROR(__xludf.DUMMYFUNCTION("""COMPUTED_VALUE"""),"None")</f>
        <v>None</v>
      </c>
      <c r="G1147" s="7" t="str">
        <f>IFERROR(__xludf.DUMMYFUNCTION("""COMPUTED_VALUE"""),"No salary data")</f>
        <v>No salary data</v>
      </c>
      <c r="H1147" s="7" t="str">
        <f>IFERROR(__xludf.DUMMYFUNCTION("""COMPUTED_VALUE"""),"No salary data")</f>
        <v>No salary data</v>
      </c>
      <c r="I1147" s="7" t="str">
        <f>IFERROR(__xludf.DUMMYFUNCTION("""COMPUTED_VALUE"""),"No salary data")</f>
        <v>No salary data</v>
      </c>
      <c r="J1147" s="7" t="str">
        <f>IFERROR(__xludf.DUMMYFUNCTION("""COMPUTED_VALUE"""),"Git")</f>
        <v>Git</v>
      </c>
      <c r="K1147" s="7" t="str">
        <f>IFERROR(__xludf.DUMMYFUNCTION("""COMPUTED_VALUE"""),"No job type data")</f>
        <v>No job type data</v>
      </c>
      <c r="L1147" s="7" t="str">
        <f>IFERROR(__xludf.DUMMYFUNCTION("""COMPUTED_VALUE"""),"None")</f>
        <v>None</v>
      </c>
      <c r="M1147" s="7"/>
      <c r="N1147" s="7"/>
      <c r="O1147" s="7"/>
    </row>
    <row r="1148">
      <c r="A1148" s="29">
        <f>IFERROR(__xludf.DUMMYFUNCTION("""COMPUTED_VALUE"""),1144.0)</f>
        <v>1144</v>
      </c>
      <c r="B1148" s="7" t="str">
        <f>IFERROR(__xludf.DUMMYFUNCTION("""COMPUTED_VALUE"""),"Heute")</f>
        <v>Heute</v>
      </c>
      <c r="C1148" s="7" t="str">
        <f>IFERROR(__xludf.DUMMYFUNCTION("""COMPUTED_VALUE"""),"Agile Software Testing (m/f/d)")</f>
        <v>Agile Software Testing (m/f/d)</v>
      </c>
      <c r="D1148" s="7" t="str">
        <f>IFERROR(__xludf.DUMMYFUNCTION("""COMPUTED_VALUE"""),"Hannover")</f>
        <v>Hannover</v>
      </c>
      <c r="E1148" s="7" t="str">
        <f>IFERROR(__xludf.DUMMYFUNCTION("""COMPUTED_VALUE"""),"Qimia GmbH")</f>
        <v>Qimia GmbH</v>
      </c>
      <c r="F1148" s="7" t="str">
        <f>IFERROR(__xludf.DUMMYFUNCTION("""COMPUTED_VALUE"""),"None")</f>
        <v>None</v>
      </c>
      <c r="G1148" s="7" t="str">
        <f>IFERROR(__xludf.DUMMYFUNCTION("""COMPUTED_VALUE"""),"No salary data")</f>
        <v>No salary data</v>
      </c>
      <c r="H1148" s="7" t="str">
        <f>IFERROR(__xludf.DUMMYFUNCTION("""COMPUTED_VALUE"""),"No salary data")</f>
        <v>No salary data</v>
      </c>
      <c r="I1148" s="7" t="str">
        <f>IFERROR(__xludf.DUMMYFUNCTION("""COMPUTED_VALUE"""),"No salary data")</f>
        <v>No salary data</v>
      </c>
      <c r="J1148" s="7" t="str">
        <f>IFERROR(__xludf.DUMMYFUNCTION("""COMPUTED_VALUE"""),"Python, SQL, Agile, Scrum")</f>
        <v>Python, SQL, Agile, Scrum</v>
      </c>
      <c r="K1148" s="7" t="str">
        <f>IFERROR(__xludf.DUMMYFUNCTION("""COMPUTED_VALUE"""),"No job type data")</f>
        <v>No job type data</v>
      </c>
      <c r="L1148" s="7" t="str">
        <f>IFERROR(__xludf.DUMMYFUNCTION("""COMPUTED_VALUE"""),"None")</f>
        <v>None</v>
      </c>
      <c r="M1148" s="7"/>
      <c r="N1148" s="7"/>
      <c r="O1148" s="7"/>
    </row>
    <row r="1149">
      <c r="A1149" s="29">
        <f>IFERROR(__xludf.DUMMYFUNCTION("""COMPUTED_VALUE"""),1145.0)</f>
        <v>1145</v>
      </c>
      <c r="B1149" s="7" t="str">
        <f>IFERROR(__xludf.DUMMYFUNCTION("""COMPUTED_VALUE"""),"vor 20 Tagen")</f>
        <v>vor 20 Tagen</v>
      </c>
      <c r="C1149" s="7" t="str">
        <f>IFERROR(__xludf.DUMMYFUNCTION("""COMPUTED_VALUE"""),"Junior DATA Specialist – Schwerpunkt EDI (m/w/d)")</f>
        <v>Junior DATA Specialist – Schwerpunkt EDI (m/w/d)</v>
      </c>
      <c r="D1149" s="7" t="str">
        <f>IFERROR(__xludf.DUMMYFUNCTION("""COMPUTED_VALUE"""),"Fridolfing")</f>
        <v>Fridolfing</v>
      </c>
      <c r="E1149" s="7" t="str">
        <f>IFERROR(__xludf.DUMMYFUNCTION("""COMPUTED_VALUE"""),"Hermann Otto GmbH")</f>
        <v>Hermann Otto GmbH</v>
      </c>
      <c r="F1149" s="7" t="str">
        <f>IFERROR(__xludf.DUMMYFUNCTION("""COMPUTED_VALUE"""),"None")</f>
        <v>None</v>
      </c>
      <c r="G1149" s="7" t="str">
        <f>IFERROR(__xludf.DUMMYFUNCTION("""COMPUTED_VALUE"""),"No salary data")</f>
        <v>No salary data</v>
      </c>
      <c r="H1149" s="7" t="str">
        <f>IFERROR(__xludf.DUMMYFUNCTION("""COMPUTED_VALUE"""),"No salary data")</f>
        <v>No salary data</v>
      </c>
      <c r="I1149" s="7" t="str">
        <f>IFERROR(__xludf.DUMMYFUNCTION("""COMPUTED_VALUE"""),"No salary data")</f>
        <v>No salary data</v>
      </c>
      <c r="J1149" s="7" t="str">
        <f>IFERROR(__xludf.DUMMYFUNCTION("""COMPUTED_VALUE"""),"SQL, Git")</f>
        <v>SQL, Git</v>
      </c>
      <c r="K1149" s="7" t="str">
        <f>IFERROR(__xludf.DUMMYFUNCTION("""COMPUTED_VALUE"""),"No job type data")</f>
        <v>No job type data</v>
      </c>
      <c r="L1149" s="7" t="str">
        <f>IFERROR(__xludf.DUMMYFUNCTION("""COMPUTED_VALUE"""),"None")</f>
        <v>None</v>
      </c>
      <c r="M1149" s="7"/>
      <c r="N1149" s="7"/>
      <c r="O1149" s="7"/>
    </row>
    <row r="1150">
      <c r="A1150" s="29">
        <f>IFERROR(__xludf.DUMMYFUNCTION("""COMPUTED_VALUE"""),1146.0)</f>
        <v>1146</v>
      </c>
      <c r="B1150" s="7" t="str">
        <f>IFERROR(__xludf.DUMMYFUNCTION("""COMPUTED_VALUE"""),"vor 7 Tagen")</f>
        <v>vor 7 Tagen</v>
      </c>
      <c r="C1150" s="7" t="str">
        <f>IFERROR(__xludf.DUMMYFUNCTION("""COMPUTED_VALUE"""),"Java Developer")</f>
        <v>Java Developer</v>
      </c>
      <c r="D1150" s="7" t="str">
        <f>IFERROR(__xludf.DUMMYFUNCTION("""COMPUTED_VALUE"""),"München")</f>
        <v>München</v>
      </c>
      <c r="E1150" s="7" t="str">
        <f>IFERROR(__xludf.DUMMYFUNCTION("""COMPUTED_VALUE"""),"Who Needs Engineers")</f>
        <v>Who Needs Engineers</v>
      </c>
      <c r="F1150" s="7" t="str">
        <f>IFERROR(__xludf.DUMMYFUNCTION("""COMPUTED_VALUE"""),"60,000 € - 90,000 € pro Jahr")</f>
        <v>60,000 € - 90,000 € pro Jahr</v>
      </c>
      <c r="G1150" s="7">
        <f>IFERROR(__xludf.DUMMYFUNCTION("""COMPUTED_VALUE"""),75000.0)</f>
        <v>75000</v>
      </c>
      <c r="H1150" s="7" t="str">
        <f>IFERROR(__xludf.DUMMYFUNCTION("""COMPUTED_VALUE"""),"Jahr")</f>
        <v>Jahr</v>
      </c>
      <c r="I1150" s="7">
        <f>IFERROR(__xludf.DUMMYFUNCTION("""COMPUTED_VALUE"""),75000.0)</f>
        <v>75000</v>
      </c>
      <c r="J1150" s="7" t="str">
        <f>IFERROR(__xludf.DUMMYFUNCTION("""COMPUTED_VALUE"""),"SQL")</f>
        <v>SQL</v>
      </c>
      <c r="K1150" s="7" t="str">
        <f>IFERROR(__xludf.DUMMYFUNCTION("""COMPUTED_VALUE"""),"Permanent")</f>
        <v>Permanent</v>
      </c>
      <c r="L1150" s="7" t="str">
        <f>IFERROR(__xludf.DUMMYFUNCTION("""COMPUTED_VALUE"""),"None")</f>
        <v>None</v>
      </c>
      <c r="M1150" s="7"/>
      <c r="N1150" s="7"/>
      <c r="O1150" s="7"/>
    </row>
    <row r="1151">
      <c r="A1151" s="29">
        <f>IFERROR(__xludf.DUMMYFUNCTION("""COMPUTED_VALUE"""),1147.0)</f>
        <v>1147</v>
      </c>
      <c r="B1151" s="7" t="str">
        <f>IFERROR(__xludf.DUMMYFUNCTION("""COMPUTED_VALUE"""),"vor 1 Tag")</f>
        <v>vor 1 Tag</v>
      </c>
      <c r="C1151" s="7" t="str">
        <f>IFERROR(__xludf.DUMMYFUNCTION("""COMPUTED_VALUE"""),"Mitarbeiter ""Anwendungsentwicklung“ (m/w/d) in Teil- oder Vo...")</f>
        <v>Mitarbeiter "Anwendungsentwicklung“ (m/w/d) in Teil- oder Vo...</v>
      </c>
      <c r="D1151" s="7" t="str">
        <f>IFERROR(__xludf.DUMMYFUNCTION("""COMPUTED_VALUE"""),"Uhlstädt-Kirchhasel")</f>
        <v>Uhlstädt-Kirchhasel</v>
      </c>
      <c r="E1151" s="7" t="str">
        <f>IFERROR(__xludf.DUMMYFUNCTION("""COMPUTED_VALUE"""),"Volksbank eG Gera • Jena • Rudolstadt")</f>
        <v>Volksbank eG Gera • Jena • Rudolstadt</v>
      </c>
      <c r="F1151" s="7" t="str">
        <f>IFERROR(__xludf.DUMMYFUNCTION("""COMPUTED_VALUE"""),"None")</f>
        <v>None</v>
      </c>
      <c r="G1151" s="7" t="str">
        <f>IFERROR(__xludf.DUMMYFUNCTION("""COMPUTED_VALUE"""),"No salary data")</f>
        <v>No salary data</v>
      </c>
      <c r="H1151" s="7" t="str">
        <f>IFERROR(__xludf.DUMMYFUNCTION("""COMPUTED_VALUE"""),"No salary data")</f>
        <v>No salary data</v>
      </c>
      <c r="I1151" s="7" t="str">
        <f>IFERROR(__xludf.DUMMYFUNCTION("""COMPUTED_VALUE"""),"No salary data")</f>
        <v>No salary data</v>
      </c>
      <c r="J1151" s="7" t="str">
        <f>IFERROR(__xludf.DUMMYFUNCTION("""COMPUTED_VALUE"""),"SQL")</f>
        <v>SQL</v>
      </c>
      <c r="K1151" s="7" t="str">
        <f>IFERROR(__xludf.DUMMYFUNCTION("""COMPUTED_VALUE"""),"No job type data")</f>
        <v>No job type data</v>
      </c>
      <c r="L1151" s="7" t="str">
        <f>IFERROR(__xludf.DUMMYFUNCTION("""COMPUTED_VALUE"""),"None")</f>
        <v>None</v>
      </c>
      <c r="M1151" s="7"/>
      <c r="N1151" s="7"/>
      <c r="O1151" s="7"/>
    </row>
    <row r="1152">
      <c r="A1152" s="29">
        <f>IFERROR(__xludf.DUMMYFUNCTION("""COMPUTED_VALUE"""),1148.0)</f>
        <v>1148</v>
      </c>
      <c r="B1152" s="7" t="str">
        <f>IFERROR(__xludf.DUMMYFUNCTION("""COMPUTED_VALUE"""),"vor 1 Tag")</f>
        <v>vor 1 Tag</v>
      </c>
      <c r="C1152" s="7" t="str">
        <f>IFERROR(__xludf.DUMMYFUNCTION("""COMPUTED_VALUE"""),"Mitarbeiter ""Anwendungsentwicklung“ (m/w/d) in Teil- oder Vo...")</f>
        <v>Mitarbeiter "Anwendungsentwicklung“ (m/w/d) in Teil- oder Vo...</v>
      </c>
      <c r="D1152" s="7" t="str">
        <f>IFERROR(__xludf.DUMMYFUNCTION("""COMPUTED_VALUE"""),"Uhlstädt-Kirchhasel")</f>
        <v>Uhlstädt-Kirchhasel</v>
      </c>
      <c r="E1152" s="7" t="str">
        <f>IFERROR(__xludf.DUMMYFUNCTION("""COMPUTED_VALUE"""),"Volksbank eG Gera • Jena • Rudolstadt")</f>
        <v>Volksbank eG Gera • Jena • Rudolstadt</v>
      </c>
      <c r="F1152" s="7" t="str">
        <f>IFERROR(__xludf.DUMMYFUNCTION("""COMPUTED_VALUE"""),"None")</f>
        <v>None</v>
      </c>
      <c r="G1152" s="7" t="str">
        <f>IFERROR(__xludf.DUMMYFUNCTION("""COMPUTED_VALUE"""),"No salary data")</f>
        <v>No salary data</v>
      </c>
      <c r="H1152" s="7" t="str">
        <f>IFERROR(__xludf.DUMMYFUNCTION("""COMPUTED_VALUE"""),"No salary data")</f>
        <v>No salary data</v>
      </c>
      <c r="I1152" s="7" t="str">
        <f>IFERROR(__xludf.DUMMYFUNCTION("""COMPUTED_VALUE"""),"No salary data")</f>
        <v>No salary data</v>
      </c>
      <c r="J1152" s="7" t="str">
        <f>IFERROR(__xludf.DUMMYFUNCTION("""COMPUTED_VALUE"""),"SQL")</f>
        <v>SQL</v>
      </c>
      <c r="K1152" s="7" t="str">
        <f>IFERROR(__xludf.DUMMYFUNCTION("""COMPUTED_VALUE"""),"No job type data")</f>
        <v>No job type data</v>
      </c>
      <c r="L1152" s="7" t="str">
        <f>IFERROR(__xludf.DUMMYFUNCTION("""COMPUTED_VALUE"""),"None")</f>
        <v>None</v>
      </c>
      <c r="M1152" s="7"/>
      <c r="N1152" s="7"/>
      <c r="O1152" s="7"/>
    </row>
    <row r="1153">
      <c r="A1153" s="29">
        <f>IFERROR(__xludf.DUMMYFUNCTION("""COMPUTED_VALUE"""),1149.0)</f>
        <v>1149</v>
      </c>
      <c r="B1153" s="7" t="str">
        <f>IFERROR(__xludf.DUMMYFUNCTION("""COMPUTED_VALUE"""),"Heute")</f>
        <v>Heute</v>
      </c>
      <c r="C1153" s="7" t="str">
        <f>IFERROR(__xludf.DUMMYFUNCTION("""COMPUTED_VALUE"""),"Valuation Expert for Complex Financial Instruments")</f>
        <v>Valuation Expert for Complex Financial Instruments</v>
      </c>
      <c r="D1153" s="7" t="str">
        <f>IFERROR(__xludf.DUMMYFUNCTION("""COMPUTED_VALUE"""),"Frankfurt am Main")</f>
        <v>Frankfurt am Main</v>
      </c>
      <c r="E1153" s="7" t="str">
        <f>IFERROR(__xludf.DUMMYFUNCTION("""COMPUTED_VALUE"""),"Brock &amp; Decker")</f>
        <v>Brock &amp; Decker</v>
      </c>
      <c r="F1153" s="7" t="str">
        <f>IFERROR(__xludf.DUMMYFUNCTION("""COMPUTED_VALUE"""),"None")</f>
        <v>None</v>
      </c>
      <c r="G1153" s="7" t="str">
        <f>IFERROR(__xludf.DUMMYFUNCTION("""COMPUTED_VALUE"""),"No salary data")</f>
        <v>No salary data</v>
      </c>
      <c r="H1153" s="7" t="str">
        <f>IFERROR(__xludf.DUMMYFUNCTION("""COMPUTED_VALUE"""),"No salary data")</f>
        <v>No salary data</v>
      </c>
      <c r="I1153" s="7" t="str">
        <f>IFERROR(__xludf.DUMMYFUNCTION("""COMPUTED_VALUE"""),"No salary data")</f>
        <v>No salary data</v>
      </c>
      <c r="J1153" s="7"/>
      <c r="K1153" s="7" t="str">
        <f>IFERROR(__xludf.DUMMYFUNCTION("""COMPUTED_VALUE"""),"No job type data")</f>
        <v>No job type data</v>
      </c>
      <c r="L1153" s="7" t="str">
        <f>IFERROR(__xludf.DUMMYFUNCTION("""COMPUTED_VALUE"""),"None")</f>
        <v>None</v>
      </c>
      <c r="M1153" s="7"/>
      <c r="N1153" s="7"/>
      <c r="O1153" s="7"/>
    </row>
    <row r="1154">
      <c r="A1154" s="29">
        <f>IFERROR(__xludf.DUMMYFUNCTION("""COMPUTED_VALUE"""),1150.0)</f>
        <v>1150</v>
      </c>
      <c r="B1154" s="7" t="str">
        <f>IFERROR(__xludf.DUMMYFUNCTION("""COMPUTED_VALUE"""),"vor 4 Tagen")</f>
        <v>vor 4 Tagen</v>
      </c>
      <c r="C1154" s="7" t="str">
        <f>IFERROR(__xludf.DUMMYFUNCTION("""COMPUTED_VALUE"""),"Systems Engineer - Baden-Württemberg - Stuttgart/Leonberg/Ka...")</f>
        <v>Systems Engineer - Baden-Württemberg - Stuttgart/Leonberg/Ka...</v>
      </c>
      <c r="D1154" s="7" t="str">
        <f>IFERROR(__xludf.DUMMYFUNCTION("""COMPUTED_VALUE"""),"München")</f>
        <v>München</v>
      </c>
      <c r="E1154" s="7" t="str">
        <f>IFERROR(__xludf.DUMMYFUNCTION("""COMPUTED_VALUE"""),"Veeam")</f>
        <v>Veeam</v>
      </c>
      <c r="F1154" s="7" t="str">
        <f>IFERROR(__xludf.DUMMYFUNCTION("""COMPUTED_VALUE"""),"None")</f>
        <v>None</v>
      </c>
      <c r="G1154" s="7" t="str">
        <f>IFERROR(__xludf.DUMMYFUNCTION("""COMPUTED_VALUE"""),"No salary data")</f>
        <v>No salary data</v>
      </c>
      <c r="H1154" s="7" t="str">
        <f>IFERROR(__xludf.DUMMYFUNCTION("""COMPUTED_VALUE"""),"No salary data")</f>
        <v>No salary data</v>
      </c>
      <c r="I1154" s="7" t="str">
        <f>IFERROR(__xludf.DUMMYFUNCTION("""COMPUTED_VALUE"""),"No salary data")</f>
        <v>No salary data</v>
      </c>
      <c r="J1154" s="7" t="str">
        <f>IFERROR(__xludf.DUMMYFUNCTION("""COMPUTED_VALUE"""),"Excel")</f>
        <v>Excel</v>
      </c>
      <c r="K1154" s="7" t="str">
        <f>IFERROR(__xludf.DUMMYFUNCTION("""COMPUTED_VALUE"""),"No job type data")</f>
        <v>No job type data</v>
      </c>
      <c r="L1154" s="7" t="str">
        <f>IFERROR(__xludf.DUMMYFUNCTION("""COMPUTED_VALUE"""),"3,5")</f>
        <v>3,5</v>
      </c>
      <c r="M1154" s="7"/>
      <c r="N1154" s="7"/>
      <c r="O1154" s="7"/>
    </row>
    <row r="1155">
      <c r="A1155" s="29">
        <f>IFERROR(__xludf.DUMMYFUNCTION("""COMPUTED_VALUE"""),1151.0)</f>
        <v>1151</v>
      </c>
      <c r="B1155" s="7" t="str">
        <f>IFERROR(__xludf.DUMMYFUNCTION("""COMPUTED_VALUE"""),"vor 3 Tagen")</f>
        <v>vor 3 Tagen</v>
      </c>
      <c r="C1155" s="7" t="str">
        <f>IFERROR(__xludf.DUMMYFUNCTION("""COMPUTED_VALUE"""),"Data Scientists (m/w/d) für KI/ML - Videointerview möglich")</f>
        <v>Data Scientists (m/w/d) für KI/ML - Videointerview möglich</v>
      </c>
      <c r="D1155" s="7" t="str">
        <f>IFERROR(__xludf.DUMMYFUNCTION("""COMPUTED_VALUE"""),"Karlsruhe")</f>
        <v>Karlsruhe</v>
      </c>
      <c r="E1155" s="7" t="str">
        <f>IFERROR(__xludf.DUMMYFUNCTION("""COMPUTED_VALUE"""),"Fiducia &amp; GAD IT AG")</f>
        <v>Fiducia &amp; GAD IT AG</v>
      </c>
      <c r="F1155" s="7" t="str">
        <f>IFERROR(__xludf.DUMMYFUNCTION("""COMPUTED_VALUE"""),"None")</f>
        <v>None</v>
      </c>
      <c r="G1155" s="7" t="str">
        <f>IFERROR(__xludf.DUMMYFUNCTION("""COMPUTED_VALUE"""),"No salary data")</f>
        <v>No salary data</v>
      </c>
      <c r="H1155" s="7" t="str">
        <f>IFERROR(__xludf.DUMMYFUNCTION("""COMPUTED_VALUE"""),"No salary data")</f>
        <v>No salary data</v>
      </c>
      <c r="I1155" s="7" t="str">
        <f>IFERROR(__xludf.DUMMYFUNCTION("""COMPUTED_VALUE"""),"No salary data")</f>
        <v>No salary data</v>
      </c>
      <c r="J1155" s="7" t="str">
        <f>IFERROR(__xludf.DUMMYFUNCTION("""COMPUTED_VALUE"""),"Python, SQL, Machine Learning, Agile")</f>
        <v>Python, SQL, Machine Learning, Agile</v>
      </c>
      <c r="K1155" s="7" t="str">
        <f>IFERROR(__xludf.DUMMYFUNCTION("""COMPUTED_VALUE"""),"No job type data")</f>
        <v>No job type data</v>
      </c>
      <c r="L1155" s="7" t="str">
        <f>IFERROR(__xludf.DUMMYFUNCTION("""COMPUTED_VALUE"""),"None")</f>
        <v>None</v>
      </c>
      <c r="M1155" s="7"/>
      <c r="N1155" s="7"/>
      <c r="O1155" s="7"/>
    </row>
    <row r="1156">
      <c r="A1156" s="29">
        <f>IFERROR(__xludf.DUMMYFUNCTION("""COMPUTED_VALUE"""),1152.0)</f>
        <v>1152</v>
      </c>
      <c r="B1156" s="7" t="str">
        <f>IFERROR(__xludf.DUMMYFUNCTION("""COMPUTED_VALUE"""),"vor 13 Tagen")</f>
        <v>vor 13 Tagen</v>
      </c>
      <c r="C1156" s="7" t="str">
        <f>IFERROR(__xludf.DUMMYFUNCTION("""COMPUTED_VALUE"""),"Data collection Analyst Berlin 12 Month Contract")</f>
        <v>Data collection Analyst Berlin 12 Month Contract</v>
      </c>
      <c r="D1156" s="7" t="str">
        <f>IFERROR(__xludf.DUMMYFUNCTION("""COMPUTED_VALUE"""),"Berlin")</f>
        <v>Berlin</v>
      </c>
      <c r="E1156" s="7" t="str">
        <f>IFERROR(__xludf.DUMMYFUNCTION("""COMPUTED_VALUE"""),"Apollo Solutions")</f>
        <v>Apollo Solutions</v>
      </c>
      <c r="F1156" s="7" t="str">
        <f>IFERROR(__xludf.DUMMYFUNCTION("""COMPUTED_VALUE"""),"None")</f>
        <v>None</v>
      </c>
      <c r="G1156" s="7" t="str">
        <f>IFERROR(__xludf.DUMMYFUNCTION("""COMPUTED_VALUE"""),"No salary data")</f>
        <v>No salary data</v>
      </c>
      <c r="H1156" s="7" t="str">
        <f>IFERROR(__xludf.DUMMYFUNCTION("""COMPUTED_VALUE"""),"No salary data")</f>
        <v>No salary data</v>
      </c>
      <c r="I1156" s="7" t="str">
        <f>IFERROR(__xludf.DUMMYFUNCTION("""COMPUTED_VALUE"""),"No salary data")</f>
        <v>No salary data</v>
      </c>
      <c r="J1156" s="7" t="str">
        <f>IFERROR(__xludf.DUMMYFUNCTION("""COMPUTED_VALUE"""),"Git, Agile")</f>
        <v>Git, Agile</v>
      </c>
      <c r="K1156" s="7" t="str">
        <f>IFERROR(__xludf.DUMMYFUNCTION("""COMPUTED_VALUE"""),"Contract")</f>
        <v>Contract</v>
      </c>
      <c r="L1156" s="7" t="str">
        <f>IFERROR(__xludf.DUMMYFUNCTION("""COMPUTED_VALUE"""),"None")</f>
        <v>None</v>
      </c>
      <c r="M1156" s="7"/>
      <c r="N1156" s="7"/>
      <c r="O1156" s="7"/>
    </row>
    <row r="1157">
      <c r="A1157" s="29">
        <f>IFERROR(__xludf.DUMMYFUNCTION("""COMPUTED_VALUE"""),1153.0)</f>
        <v>1153</v>
      </c>
      <c r="B1157" s="7" t="str">
        <f>IFERROR(__xludf.DUMMYFUNCTION("""COMPUTED_VALUE"""),"Heute")</f>
        <v>Heute</v>
      </c>
      <c r="C1157" s="7" t="str">
        <f>IFERROR(__xludf.DUMMYFUNCTION("""COMPUTED_VALUE"""),"Valuation Expert for Complex Financial Instruments")</f>
        <v>Valuation Expert for Complex Financial Instruments</v>
      </c>
      <c r="D1157" s="7" t="str">
        <f>IFERROR(__xludf.DUMMYFUNCTION("""COMPUTED_VALUE"""),"Frankfurt am Main")</f>
        <v>Frankfurt am Main</v>
      </c>
      <c r="E1157" s="7" t="str">
        <f>IFERROR(__xludf.DUMMYFUNCTION("""COMPUTED_VALUE"""),"Brock &amp; Decker")</f>
        <v>Brock &amp; Decker</v>
      </c>
      <c r="F1157" s="7" t="str">
        <f>IFERROR(__xludf.DUMMYFUNCTION("""COMPUTED_VALUE"""),"None")</f>
        <v>None</v>
      </c>
      <c r="G1157" s="7" t="str">
        <f>IFERROR(__xludf.DUMMYFUNCTION("""COMPUTED_VALUE"""),"No salary data")</f>
        <v>No salary data</v>
      </c>
      <c r="H1157" s="7" t="str">
        <f>IFERROR(__xludf.DUMMYFUNCTION("""COMPUTED_VALUE"""),"No salary data")</f>
        <v>No salary data</v>
      </c>
      <c r="I1157" s="7" t="str">
        <f>IFERROR(__xludf.DUMMYFUNCTION("""COMPUTED_VALUE"""),"No salary data")</f>
        <v>No salary data</v>
      </c>
      <c r="J1157" s="7"/>
      <c r="K1157" s="7" t="str">
        <f>IFERROR(__xludf.DUMMYFUNCTION("""COMPUTED_VALUE"""),"No job type data")</f>
        <v>No job type data</v>
      </c>
      <c r="L1157" s="7" t="str">
        <f>IFERROR(__xludf.DUMMYFUNCTION("""COMPUTED_VALUE"""),"None")</f>
        <v>None</v>
      </c>
      <c r="M1157" s="7"/>
      <c r="N1157" s="7"/>
      <c r="O1157" s="7"/>
    </row>
    <row r="1158">
      <c r="A1158" s="29">
        <f>IFERROR(__xludf.DUMMYFUNCTION("""COMPUTED_VALUE"""),1154.0)</f>
        <v>1154</v>
      </c>
      <c r="B1158" s="7" t="str">
        <f>IFERROR(__xludf.DUMMYFUNCTION("""COMPUTED_VALUE"""),"Heute")</f>
        <v>Heute</v>
      </c>
      <c r="C1158" s="7" t="str">
        <f>IFERROR(__xludf.DUMMYFUNCTION("""COMPUTED_VALUE"""),"Wealth Management Middle Officer")</f>
        <v>Wealth Management Middle Officer</v>
      </c>
      <c r="D1158" s="7" t="str">
        <f>IFERROR(__xludf.DUMMYFUNCTION("""COMPUTED_VALUE"""),"Frankfurt am Main")</f>
        <v>Frankfurt am Main</v>
      </c>
      <c r="E1158" s="7" t="str">
        <f>IFERROR(__xludf.DUMMYFUNCTION("""COMPUTED_VALUE"""),"Selby Jennings")</f>
        <v>Selby Jennings</v>
      </c>
      <c r="F1158" s="7" t="str">
        <f>IFERROR(__xludf.DUMMYFUNCTION("""COMPUTED_VALUE"""),"None")</f>
        <v>None</v>
      </c>
      <c r="G1158" s="7" t="str">
        <f>IFERROR(__xludf.DUMMYFUNCTION("""COMPUTED_VALUE"""),"No salary data")</f>
        <v>No salary data</v>
      </c>
      <c r="H1158" s="7" t="str">
        <f>IFERROR(__xludf.DUMMYFUNCTION("""COMPUTED_VALUE"""),"No salary data")</f>
        <v>No salary data</v>
      </c>
      <c r="I1158" s="7" t="str">
        <f>IFERROR(__xludf.DUMMYFUNCTION("""COMPUTED_VALUE"""),"No salary data")</f>
        <v>No salary data</v>
      </c>
      <c r="J1158" s="7" t="str">
        <f>IFERROR(__xludf.DUMMYFUNCTION("""COMPUTED_VALUE"""),"Excel")</f>
        <v>Excel</v>
      </c>
      <c r="K1158" s="7" t="str">
        <f>IFERROR(__xludf.DUMMYFUNCTION("""COMPUTED_VALUE"""),"Contract")</f>
        <v>Contract</v>
      </c>
      <c r="L1158" s="7" t="str">
        <f>IFERROR(__xludf.DUMMYFUNCTION("""COMPUTED_VALUE"""),"None")</f>
        <v>None</v>
      </c>
      <c r="M1158" s="7"/>
      <c r="N1158" s="7"/>
      <c r="O1158" s="7"/>
    </row>
    <row r="1159">
      <c r="A1159" s="29">
        <f>IFERROR(__xludf.DUMMYFUNCTION("""COMPUTED_VALUE"""),1155.0)</f>
        <v>1155</v>
      </c>
      <c r="B1159" s="7" t="str">
        <f>IFERROR(__xludf.DUMMYFUNCTION("""COMPUTED_VALUE"""),"Gerade geschaltet")</f>
        <v>Gerade geschaltet</v>
      </c>
      <c r="C1159" s="7" t="str">
        <f>IFERROR(__xludf.DUMMYFUNCTION("""COMPUTED_VALUE"""),"Senior IT Consultant / Data Warehouse Specialist (m/w/d)")</f>
        <v>Senior IT Consultant / Data Warehouse Specialist (m/w/d)</v>
      </c>
      <c r="D1159" s="7" t="str">
        <f>IFERROR(__xludf.DUMMYFUNCTION("""COMPUTED_VALUE"""),"München")</f>
        <v>München</v>
      </c>
      <c r="E1159" s="7" t="str">
        <f>IFERROR(__xludf.DUMMYFUNCTION("""COMPUTED_VALUE"""),"DEVnet GmbH")</f>
        <v>DEVnet GmbH</v>
      </c>
      <c r="F1159" s="7" t="str">
        <f>IFERROR(__xludf.DUMMYFUNCTION("""COMPUTED_VALUE"""),"None")</f>
        <v>None</v>
      </c>
      <c r="G1159" s="7" t="str">
        <f>IFERROR(__xludf.DUMMYFUNCTION("""COMPUTED_VALUE"""),"No salary data")</f>
        <v>No salary data</v>
      </c>
      <c r="H1159" s="7" t="str">
        <f>IFERROR(__xludf.DUMMYFUNCTION("""COMPUTED_VALUE"""),"No salary data")</f>
        <v>No salary data</v>
      </c>
      <c r="I1159" s="7" t="str">
        <f>IFERROR(__xludf.DUMMYFUNCTION("""COMPUTED_VALUE"""),"No salary data")</f>
        <v>No salary data</v>
      </c>
      <c r="J1159" s="7"/>
      <c r="K1159" s="7" t="str">
        <f>IFERROR(__xludf.DUMMYFUNCTION("""COMPUTED_VALUE"""),"No job type data")</f>
        <v>No job type data</v>
      </c>
      <c r="L1159" s="7" t="str">
        <f>IFERROR(__xludf.DUMMYFUNCTION("""COMPUTED_VALUE"""),"None")</f>
        <v>None</v>
      </c>
      <c r="M1159" s="7"/>
      <c r="N1159" s="7"/>
      <c r="O1159" s="7"/>
    </row>
    <row r="1160">
      <c r="A1160" s="29">
        <f>IFERROR(__xludf.DUMMYFUNCTION("""COMPUTED_VALUE"""),1156.0)</f>
        <v>1156</v>
      </c>
      <c r="B1160" s="7" t="str">
        <f>IFERROR(__xludf.DUMMYFUNCTION("""COMPUTED_VALUE"""),"vor 21 Tagen")</f>
        <v>vor 21 Tagen</v>
      </c>
      <c r="C1160" s="7" t="str">
        <f>IFERROR(__xludf.DUMMYFUNCTION("""COMPUTED_VALUE"""),"Marketing Science Partner DACH")</f>
        <v>Marketing Science Partner DACH</v>
      </c>
      <c r="D1160" s="7" t="str">
        <f>IFERROR(__xludf.DUMMYFUNCTION("""COMPUTED_VALUE"""),"Hamburg, Freie und Hansestadt")</f>
        <v>Hamburg, Freie und Hansestadt</v>
      </c>
      <c r="E1160" s="7" t="str">
        <f>IFERROR(__xludf.DUMMYFUNCTION("""COMPUTED_VALUE"""),"Facebook")</f>
        <v>Facebook</v>
      </c>
      <c r="F1160" s="7" t="str">
        <f>IFERROR(__xludf.DUMMYFUNCTION("""COMPUTED_VALUE"""),"None")</f>
        <v>None</v>
      </c>
      <c r="G1160" s="7" t="str">
        <f>IFERROR(__xludf.DUMMYFUNCTION("""COMPUTED_VALUE"""),"No salary data")</f>
        <v>No salary data</v>
      </c>
      <c r="H1160" s="7" t="str">
        <f>IFERROR(__xludf.DUMMYFUNCTION("""COMPUTED_VALUE"""),"No salary data")</f>
        <v>No salary data</v>
      </c>
      <c r="I1160" s="7" t="str">
        <f>IFERROR(__xludf.DUMMYFUNCTION("""COMPUTED_VALUE"""),"No salary data")</f>
        <v>No salary data</v>
      </c>
      <c r="J1160" s="7" t="str">
        <f>IFERROR(__xludf.DUMMYFUNCTION("""COMPUTED_VALUE"""),"SQL, Excel, Statistic, Git")</f>
        <v>SQL, Excel, Statistic, Git</v>
      </c>
      <c r="K1160" s="7" t="str">
        <f>IFERROR(__xludf.DUMMYFUNCTION("""COMPUTED_VALUE"""),"Full Time")</f>
        <v>Full Time</v>
      </c>
      <c r="L1160" s="7" t="str">
        <f>IFERROR(__xludf.DUMMYFUNCTION("""COMPUTED_VALUE"""),"4,2")</f>
        <v>4,2</v>
      </c>
      <c r="M1160" s="7"/>
      <c r="N1160" s="7"/>
      <c r="O1160" s="7"/>
    </row>
    <row r="1161">
      <c r="A1161" s="29">
        <f>IFERROR(__xludf.DUMMYFUNCTION("""COMPUTED_VALUE"""),1157.0)</f>
        <v>1157</v>
      </c>
      <c r="B1161" s="7" t="str">
        <f>IFERROR(__xludf.DUMMYFUNCTION("""COMPUTED_VALUE"""),"vor 21 Tagen")</f>
        <v>vor 21 Tagen</v>
      </c>
      <c r="C1161" s="7" t="str">
        <f>IFERROR(__xludf.DUMMYFUNCTION("""COMPUTED_VALUE"""),"Marketing Science Partner DACH")</f>
        <v>Marketing Science Partner DACH</v>
      </c>
      <c r="D1161" s="7" t="str">
        <f>IFERROR(__xludf.DUMMYFUNCTION("""COMPUTED_VALUE"""),"Hamburg, Freie und Hansestadt")</f>
        <v>Hamburg, Freie und Hansestadt</v>
      </c>
      <c r="E1161" s="7" t="str">
        <f>IFERROR(__xludf.DUMMYFUNCTION("""COMPUTED_VALUE"""),"Facebook")</f>
        <v>Facebook</v>
      </c>
      <c r="F1161" s="7" t="str">
        <f>IFERROR(__xludf.DUMMYFUNCTION("""COMPUTED_VALUE"""),"None")</f>
        <v>None</v>
      </c>
      <c r="G1161" s="7" t="str">
        <f>IFERROR(__xludf.DUMMYFUNCTION("""COMPUTED_VALUE"""),"No salary data")</f>
        <v>No salary data</v>
      </c>
      <c r="H1161" s="7" t="str">
        <f>IFERROR(__xludf.DUMMYFUNCTION("""COMPUTED_VALUE"""),"No salary data")</f>
        <v>No salary data</v>
      </c>
      <c r="I1161" s="7" t="str">
        <f>IFERROR(__xludf.DUMMYFUNCTION("""COMPUTED_VALUE"""),"No salary data")</f>
        <v>No salary data</v>
      </c>
      <c r="J1161" s="7" t="str">
        <f>IFERROR(__xludf.DUMMYFUNCTION("""COMPUTED_VALUE"""),"SQL, Excel, Statistic, Git")</f>
        <v>SQL, Excel, Statistic, Git</v>
      </c>
      <c r="K1161" s="7" t="str">
        <f>IFERROR(__xludf.DUMMYFUNCTION("""COMPUTED_VALUE"""),"Full Time")</f>
        <v>Full Time</v>
      </c>
      <c r="L1161" s="7" t="str">
        <f>IFERROR(__xludf.DUMMYFUNCTION("""COMPUTED_VALUE"""),"4,2")</f>
        <v>4,2</v>
      </c>
      <c r="M1161" s="7"/>
      <c r="N1161" s="7"/>
      <c r="O1161" s="7"/>
    </row>
    <row r="1162">
      <c r="A1162" s="29">
        <f>IFERROR(__xludf.DUMMYFUNCTION("""COMPUTED_VALUE"""),1158.0)</f>
        <v>1158</v>
      </c>
      <c r="B1162" s="7" t="str">
        <f>IFERROR(__xludf.DUMMYFUNCTION("""COMPUTED_VALUE"""),"Gerade geschaltet")</f>
        <v>Gerade geschaltet</v>
      </c>
      <c r="C1162" s="7" t="str">
        <f>IFERROR(__xludf.DUMMYFUNCTION("""COMPUTED_VALUE"""),"Senior IT Consultant / Business Intelligence Specialist (m/w...")</f>
        <v>Senior IT Consultant / Business Intelligence Specialist (m/w...</v>
      </c>
      <c r="D1162" s="7" t="str">
        <f>IFERROR(__xludf.DUMMYFUNCTION("""COMPUTED_VALUE"""),"München")</f>
        <v>München</v>
      </c>
      <c r="E1162" s="7" t="str">
        <f>IFERROR(__xludf.DUMMYFUNCTION("""COMPUTED_VALUE"""),"DEVnet GmbH")</f>
        <v>DEVnet GmbH</v>
      </c>
      <c r="F1162" s="7" t="str">
        <f>IFERROR(__xludf.DUMMYFUNCTION("""COMPUTED_VALUE"""),"None")</f>
        <v>None</v>
      </c>
      <c r="G1162" s="7" t="str">
        <f>IFERROR(__xludf.DUMMYFUNCTION("""COMPUTED_VALUE"""),"No salary data")</f>
        <v>No salary data</v>
      </c>
      <c r="H1162" s="7" t="str">
        <f>IFERROR(__xludf.DUMMYFUNCTION("""COMPUTED_VALUE"""),"No salary data")</f>
        <v>No salary data</v>
      </c>
      <c r="I1162" s="7" t="str">
        <f>IFERROR(__xludf.DUMMYFUNCTION("""COMPUTED_VALUE"""),"No salary data")</f>
        <v>No salary data</v>
      </c>
      <c r="J1162" s="7" t="str">
        <f>IFERROR(__xludf.DUMMYFUNCTION("""COMPUTED_VALUE"""),"Tableau")</f>
        <v>Tableau</v>
      </c>
      <c r="K1162" s="7" t="str">
        <f>IFERROR(__xludf.DUMMYFUNCTION("""COMPUTED_VALUE"""),"No job type data")</f>
        <v>No job type data</v>
      </c>
      <c r="L1162" s="7" t="str">
        <f>IFERROR(__xludf.DUMMYFUNCTION("""COMPUTED_VALUE"""),"None")</f>
        <v>None</v>
      </c>
      <c r="M1162" s="7"/>
      <c r="N1162" s="7"/>
      <c r="O1162" s="7"/>
    </row>
    <row r="1163">
      <c r="A1163" s="29">
        <f>IFERROR(__xludf.DUMMYFUNCTION("""COMPUTED_VALUE"""),1159.0)</f>
        <v>1159</v>
      </c>
      <c r="B1163" s="7" t="str">
        <f>IFERROR(__xludf.DUMMYFUNCTION("""COMPUTED_VALUE"""),"vor 21 Tagen")</f>
        <v>vor 21 Tagen</v>
      </c>
      <c r="C1163" s="7" t="str">
        <f>IFERROR(__xludf.DUMMYFUNCTION("""COMPUTED_VALUE"""),"Data Engineer (m/w/d)")</f>
        <v>Data Engineer (m/w/d)</v>
      </c>
      <c r="D1163" s="7" t="str">
        <f>IFERROR(__xludf.DUMMYFUNCTION("""COMPUTED_VALUE"""),"Köln")</f>
        <v>Köln</v>
      </c>
      <c r="E1163" s="7" t="str">
        <f>IFERROR(__xludf.DUMMYFUNCTION("""COMPUTED_VALUE"""),"taod Consulting GmbH")</f>
        <v>taod Consulting GmbH</v>
      </c>
      <c r="F1163" s="7" t="str">
        <f>IFERROR(__xludf.DUMMYFUNCTION("""COMPUTED_VALUE"""),"None")</f>
        <v>None</v>
      </c>
      <c r="G1163" s="7" t="str">
        <f>IFERROR(__xludf.DUMMYFUNCTION("""COMPUTED_VALUE"""),"No salary data")</f>
        <v>No salary data</v>
      </c>
      <c r="H1163" s="7" t="str">
        <f>IFERROR(__xludf.DUMMYFUNCTION("""COMPUTED_VALUE"""),"No salary data")</f>
        <v>No salary data</v>
      </c>
      <c r="I1163" s="7" t="str">
        <f>IFERROR(__xludf.DUMMYFUNCTION("""COMPUTED_VALUE"""),"No salary data")</f>
        <v>No salary data</v>
      </c>
      <c r="J1163" s="7" t="str">
        <f>IFERROR(__xludf.DUMMYFUNCTION("""COMPUTED_VALUE"""),"Python, SQL, Agile")</f>
        <v>Python, SQL, Agile</v>
      </c>
      <c r="K1163" s="7" t="str">
        <f>IFERROR(__xludf.DUMMYFUNCTION("""COMPUTED_VALUE"""),"No job type data")</f>
        <v>No job type data</v>
      </c>
      <c r="L1163" s="7" t="str">
        <f>IFERROR(__xludf.DUMMYFUNCTION("""COMPUTED_VALUE"""),"None")</f>
        <v>None</v>
      </c>
      <c r="M1163" s="7"/>
      <c r="N1163" s="7"/>
      <c r="O1163" s="7"/>
    </row>
    <row r="1164">
      <c r="A1164" s="29">
        <f>IFERROR(__xludf.DUMMYFUNCTION("""COMPUTED_VALUE"""),1160.0)</f>
        <v>1160</v>
      </c>
      <c r="B1164" s="7" t="str">
        <f>IFERROR(__xludf.DUMMYFUNCTION("""COMPUTED_VALUE"""),"vor 26 Tagen")</f>
        <v>vor 26 Tagen</v>
      </c>
      <c r="C1164" s="7" t="str">
        <f>IFERROR(__xludf.DUMMYFUNCTION("""COMPUTED_VALUE"""),"Senior Data Engineer (M/F/DIV)")</f>
        <v>Senior Data Engineer (M/F/DIV)</v>
      </c>
      <c r="D1164" s="7" t="str">
        <f>IFERROR(__xludf.DUMMYFUNCTION("""COMPUTED_VALUE"""),"Berlin")</f>
        <v>Berlin</v>
      </c>
      <c r="E1164" s="7" t="str">
        <f>IFERROR(__xludf.DUMMYFUNCTION("""COMPUTED_VALUE"""),"Dept Agency DE")</f>
        <v>Dept Agency DE</v>
      </c>
      <c r="F1164" s="7" t="str">
        <f>IFERROR(__xludf.DUMMYFUNCTION("""COMPUTED_VALUE"""),"None")</f>
        <v>None</v>
      </c>
      <c r="G1164" s="7" t="str">
        <f>IFERROR(__xludf.DUMMYFUNCTION("""COMPUTED_VALUE"""),"No salary data")</f>
        <v>No salary data</v>
      </c>
      <c r="H1164" s="7" t="str">
        <f>IFERROR(__xludf.DUMMYFUNCTION("""COMPUTED_VALUE"""),"No salary data")</f>
        <v>No salary data</v>
      </c>
      <c r="I1164" s="7" t="str">
        <f>IFERROR(__xludf.DUMMYFUNCTION("""COMPUTED_VALUE"""),"No salary data")</f>
        <v>No salary data</v>
      </c>
      <c r="J1164" s="7" t="str">
        <f>IFERROR(__xludf.DUMMYFUNCTION("""COMPUTED_VALUE"""),"Python, SQL, Excel, Machine Learning, Git")</f>
        <v>Python, SQL, Excel, Machine Learning, Git</v>
      </c>
      <c r="K1164" s="7" t="str">
        <f>IFERROR(__xludf.DUMMYFUNCTION("""COMPUTED_VALUE"""),"Permanent")</f>
        <v>Permanent</v>
      </c>
      <c r="L1164" s="7" t="str">
        <f>IFERROR(__xludf.DUMMYFUNCTION("""COMPUTED_VALUE"""),"None")</f>
        <v>None</v>
      </c>
      <c r="M1164" s="7"/>
      <c r="N1164" s="7"/>
      <c r="O1164" s="7"/>
    </row>
    <row r="1165">
      <c r="A1165" s="29">
        <f>IFERROR(__xludf.DUMMYFUNCTION("""COMPUTED_VALUE"""),1161.0)</f>
        <v>1161</v>
      </c>
      <c r="B1165" s="7" t="str">
        <f>IFERROR(__xludf.DUMMYFUNCTION("""COMPUTED_VALUE"""),"Gerade geschaltet")</f>
        <v>Gerade geschaltet</v>
      </c>
      <c r="C1165" s="7" t="str">
        <f>IFERROR(__xludf.DUMMYFUNCTION("""COMPUTED_VALUE"""),"Director Data Analysis &amp; Simulation (w/m/d)")</f>
        <v>Director Data Analysis &amp; Simulation (w/m/d)</v>
      </c>
      <c r="D1165" s="7" t="str">
        <f>IFERROR(__xludf.DUMMYFUNCTION("""COMPUTED_VALUE"""),"Giebelstadt")</f>
        <v>Giebelstadt</v>
      </c>
      <c r="E1165" s="7" t="str">
        <f>IFERROR(__xludf.DUMMYFUNCTION("""COMPUTED_VALUE"""),"SSI Schäfer Automation GmbH")</f>
        <v>SSI Schäfer Automation GmbH</v>
      </c>
      <c r="F1165" s="7" t="str">
        <f>IFERROR(__xludf.DUMMYFUNCTION("""COMPUTED_VALUE"""),"None")</f>
        <v>None</v>
      </c>
      <c r="G1165" s="7" t="str">
        <f>IFERROR(__xludf.DUMMYFUNCTION("""COMPUTED_VALUE"""),"No salary data")</f>
        <v>No salary data</v>
      </c>
      <c r="H1165" s="7" t="str">
        <f>IFERROR(__xludf.DUMMYFUNCTION("""COMPUTED_VALUE"""),"No salary data")</f>
        <v>No salary data</v>
      </c>
      <c r="I1165" s="7" t="str">
        <f>IFERROR(__xludf.DUMMYFUNCTION("""COMPUTED_VALUE"""),"No salary data")</f>
        <v>No salary data</v>
      </c>
      <c r="J1165" s="7"/>
      <c r="K1165" s="7" t="str">
        <f>IFERROR(__xludf.DUMMYFUNCTION("""COMPUTED_VALUE"""),"No job type data")</f>
        <v>No job type data</v>
      </c>
      <c r="L1165" s="7" t="str">
        <f>IFERROR(__xludf.DUMMYFUNCTION("""COMPUTED_VALUE"""),"None")</f>
        <v>None</v>
      </c>
      <c r="M1165" s="7"/>
      <c r="N1165" s="7"/>
      <c r="O1165" s="7"/>
    </row>
    <row r="1166">
      <c r="A1166" s="29">
        <f>IFERROR(__xludf.DUMMYFUNCTION("""COMPUTED_VALUE"""),1162.0)</f>
        <v>1162</v>
      </c>
      <c r="B1166" s="7" t="str">
        <f>IFERROR(__xludf.DUMMYFUNCTION("""COMPUTED_VALUE"""),"Gerade geschaltet")</f>
        <v>Gerade geschaltet</v>
      </c>
      <c r="C1166" s="7" t="str">
        <f>IFERROR(__xludf.DUMMYFUNCTION("""COMPUTED_VALUE"""),"Director Data Analysis &amp; Simulation (w/m/d)")</f>
        <v>Director Data Analysis &amp; Simulation (w/m/d)</v>
      </c>
      <c r="D1166" s="7" t="str">
        <f>IFERROR(__xludf.DUMMYFUNCTION("""COMPUTED_VALUE"""),"Giebelstadt")</f>
        <v>Giebelstadt</v>
      </c>
      <c r="E1166" s="7" t="str">
        <f>IFERROR(__xludf.DUMMYFUNCTION("""COMPUTED_VALUE"""),"SSI Schäfer Automation GmbH")</f>
        <v>SSI Schäfer Automation GmbH</v>
      </c>
      <c r="F1166" s="7" t="str">
        <f>IFERROR(__xludf.DUMMYFUNCTION("""COMPUTED_VALUE"""),"None")</f>
        <v>None</v>
      </c>
      <c r="G1166" s="7" t="str">
        <f>IFERROR(__xludf.DUMMYFUNCTION("""COMPUTED_VALUE"""),"No salary data")</f>
        <v>No salary data</v>
      </c>
      <c r="H1166" s="7" t="str">
        <f>IFERROR(__xludf.DUMMYFUNCTION("""COMPUTED_VALUE"""),"No salary data")</f>
        <v>No salary data</v>
      </c>
      <c r="I1166" s="7" t="str">
        <f>IFERROR(__xludf.DUMMYFUNCTION("""COMPUTED_VALUE"""),"No salary data")</f>
        <v>No salary data</v>
      </c>
      <c r="J1166" s="7"/>
      <c r="K1166" s="7" t="str">
        <f>IFERROR(__xludf.DUMMYFUNCTION("""COMPUTED_VALUE"""),"No job type data")</f>
        <v>No job type data</v>
      </c>
      <c r="L1166" s="7" t="str">
        <f>IFERROR(__xludf.DUMMYFUNCTION("""COMPUTED_VALUE"""),"None")</f>
        <v>None</v>
      </c>
      <c r="M1166" s="7"/>
      <c r="N1166" s="7"/>
      <c r="O1166" s="7"/>
    </row>
    <row r="1167">
      <c r="A1167" s="29">
        <f>IFERROR(__xludf.DUMMYFUNCTION("""COMPUTED_VALUE"""),1163.0)</f>
        <v>1163</v>
      </c>
      <c r="B1167" s="7" t="str">
        <f>IFERROR(__xludf.DUMMYFUNCTION("""COMPUTED_VALUE"""),"vor 24 Tagen")</f>
        <v>vor 24 Tagen</v>
      </c>
      <c r="C1167" s="7" t="str">
        <f>IFERROR(__xludf.DUMMYFUNCTION("""COMPUTED_VALUE"""),"Junior Prozessmanager / Business Analyst (m/w/d) Schwerpunkt...")</f>
        <v>Junior Prozessmanager / Business Analyst (m/w/d) Schwerpunkt...</v>
      </c>
      <c r="D1167" s="7" t="str">
        <f>IFERROR(__xludf.DUMMYFUNCTION("""COMPUTED_VALUE"""),"Pforzheim")</f>
        <v>Pforzheim</v>
      </c>
      <c r="E1167" s="7" t="str">
        <f>IFERROR(__xludf.DUMMYFUNCTION("""COMPUTED_VALUE"""),"BRUNO BADER GmbH + Co. KG")</f>
        <v>BRUNO BADER GmbH + Co. KG</v>
      </c>
      <c r="F1167" s="7" t="str">
        <f>IFERROR(__xludf.DUMMYFUNCTION("""COMPUTED_VALUE"""),"None")</f>
        <v>None</v>
      </c>
      <c r="G1167" s="7" t="str">
        <f>IFERROR(__xludf.DUMMYFUNCTION("""COMPUTED_VALUE"""),"No salary data")</f>
        <v>No salary data</v>
      </c>
      <c r="H1167" s="7" t="str">
        <f>IFERROR(__xludf.DUMMYFUNCTION("""COMPUTED_VALUE"""),"No salary data")</f>
        <v>No salary data</v>
      </c>
      <c r="I1167" s="7" t="str">
        <f>IFERROR(__xludf.DUMMYFUNCTION("""COMPUTED_VALUE"""),"No salary data")</f>
        <v>No salary data</v>
      </c>
      <c r="J1167" s="7" t="str">
        <f>IFERROR(__xludf.DUMMYFUNCTION("""COMPUTED_VALUE"""),"SQL, Excel")</f>
        <v>SQL, Excel</v>
      </c>
      <c r="K1167" s="7" t="str">
        <f>IFERROR(__xludf.DUMMYFUNCTION("""COMPUTED_VALUE"""),"No job type data")</f>
        <v>No job type data</v>
      </c>
      <c r="L1167" s="7" t="str">
        <f>IFERROR(__xludf.DUMMYFUNCTION("""COMPUTED_VALUE"""),"None")</f>
        <v>None</v>
      </c>
      <c r="M1167" s="7"/>
      <c r="N1167" s="7"/>
      <c r="O1167" s="7"/>
    </row>
    <row r="1168">
      <c r="A1168" s="29">
        <f>IFERROR(__xludf.DUMMYFUNCTION("""COMPUTED_VALUE"""),1164.0)</f>
        <v>1164</v>
      </c>
      <c r="B1168" s="7" t="str">
        <f>IFERROR(__xludf.DUMMYFUNCTION("""COMPUTED_VALUE"""),"vor 15 Tagen")</f>
        <v>vor 15 Tagen</v>
      </c>
      <c r="C1168" s="7" t="str">
        <f>IFERROR(__xludf.DUMMYFUNCTION("""COMPUTED_VALUE"""),"Data Engineer (m/w/d)")</f>
        <v>Data Engineer (m/w/d)</v>
      </c>
      <c r="D1168" s="7" t="str">
        <f>IFERROR(__xludf.DUMMYFUNCTION("""COMPUTED_VALUE"""),"Pforzheim")</f>
        <v>Pforzheim</v>
      </c>
      <c r="E1168" s="7" t="str">
        <f>IFERROR(__xludf.DUMMYFUNCTION("""COMPUTED_VALUE"""),"BRUNO BADER GmbH + Co. KG")</f>
        <v>BRUNO BADER GmbH + Co. KG</v>
      </c>
      <c r="F1168" s="7" t="str">
        <f>IFERROR(__xludf.DUMMYFUNCTION("""COMPUTED_VALUE"""),"None")</f>
        <v>None</v>
      </c>
      <c r="G1168" s="7" t="str">
        <f>IFERROR(__xludf.DUMMYFUNCTION("""COMPUTED_VALUE"""),"No salary data")</f>
        <v>No salary data</v>
      </c>
      <c r="H1168" s="7" t="str">
        <f>IFERROR(__xludf.DUMMYFUNCTION("""COMPUTED_VALUE"""),"No salary data")</f>
        <v>No salary data</v>
      </c>
      <c r="I1168" s="7" t="str">
        <f>IFERROR(__xludf.DUMMYFUNCTION("""COMPUTED_VALUE"""),"No salary data")</f>
        <v>No salary data</v>
      </c>
      <c r="J1168" s="7" t="str">
        <f>IFERROR(__xludf.DUMMYFUNCTION("""COMPUTED_VALUE"""),"SQL")</f>
        <v>SQL</v>
      </c>
      <c r="K1168" s="7" t="str">
        <f>IFERROR(__xludf.DUMMYFUNCTION("""COMPUTED_VALUE"""),"No job type data")</f>
        <v>No job type data</v>
      </c>
      <c r="L1168" s="7" t="str">
        <f>IFERROR(__xludf.DUMMYFUNCTION("""COMPUTED_VALUE"""),"None")</f>
        <v>None</v>
      </c>
      <c r="M1168" s="7"/>
      <c r="N1168" s="7"/>
      <c r="O1168" s="7"/>
    </row>
    <row r="1169">
      <c r="A1169" s="29">
        <f>IFERROR(__xludf.DUMMYFUNCTION("""COMPUTED_VALUE"""),1165.0)</f>
        <v>1165</v>
      </c>
      <c r="B1169" s="7" t="str">
        <f>IFERROR(__xludf.DUMMYFUNCTION("""COMPUTED_VALUE"""),"vor 25 Tagen")</f>
        <v>vor 25 Tagen</v>
      </c>
      <c r="C1169" s="7" t="str">
        <f>IFERROR(__xludf.DUMMYFUNCTION("""COMPUTED_VALUE"""),"Duales Studium Wirtschaftsinformatik B.Sc. – Fachrichtung Da...")</f>
        <v>Duales Studium Wirtschaftsinformatik B.Sc. – Fachrichtung Da...</v>
      </c>
      <c r="D1169" s="7" t="str">
        <f>IFERROR(__xludf.DUMMYFUNCTION("""COMPUTED_VALUE"""),"Stuttgart")</f>
        <v>Stuttgart</v>
      </c>
      <c r="E1169" s="7" t="str">
        <f>IFERROR(__xludf.DUMMYFUNCTION("""COMPUTED_VALUE"""),"Komm.ONE")</f>
        <v>Komm.ONE</v>
      </c>
      <c r="F1169" s="7" t="str">
        <f>IFERROR(__xludf.DUMMYFUNCTION("""COMPUTED_VALUE"""),"None")</f>
        <v>None</v>
      </c>
      <c r="G1169" s="7" t="str">
        <f>IFERROR(__xludf.DUMMYFUNCTION("""COMPUTED_VALUE"""),"No salary data")</f>
        <v>No salary data</v>
      </c>
      <c r="H1169" s="7" t="str">
        <f>IFERROR(__xludf.DUMMYFUNCTION("""COMPUTED_VALUE"""),"No salary data")</f>
        <v>No salary data</v>
      </c>
      <c r="I1169" s="7" t="str">
        <f>IFERROR(__xludf.DUMMYFUNCTION("""COMPUTED_VALUE"""),"No salary data")</f>
        <v>No salary data</v>
      </c>
      <c r="J1169" s="7"/>
      <c r="K1169" s="7" t="str">
        <f>IFERROR(__xludf.DUMMYFUNCTION("""COMPUTED_VALUE"""),"No job type data")</f>
        <v>No job type data</v>
      </c>
      <c r="L1169" s="7" t="str">
        <f>IFERROR(__xludf.DUMMYFUNCTION("""COMPUTED_VALUE"""),"None")</f>
        <v>None</v>
      </c>
      <c r="M1169" s="7"/>
      <c r="N1169" s="7"/>
      <c r="O1169" s="7"/>
    </row>
    <row r="1170">
      <c r="A1170" s="29">
        <f>IFERROR(__xludf.DUMMYFUNCTION("""COMPUTED_VALUE"""),1166.0)</f>
        <v>1166</v>
      </c>
      <c r="B1170" s="7" t="str">
        <f>IFERROR(__xludf.DUMMYFUNCTION("""COMPUTED_VALUE"""),"vor 25 Tagen")</f>
        <v>vor 25 Tagen</v>
      </c>
      <c r="C1170" s="7" t="str">
        <f>IFERROR(__xludf.DUMMYFUNCTION("""COMPUTED_VALUE"""),"Duales Studium Wirtschaftsinformatik B.Sc. – Fachrichtung Da...")</f>
        <v>Duales Studium Wirtschaftsinformatik B.Sc. – Fachrichtung Da...</v>
      </c>
      <c r="D1170" s="7" t="str">
        <f>IFERROR(__xludf.DUMMYFUNCTION("""COMPUTED_VALUE"""),"Stuttgart")</f>
        <v>Stuttgart</v>
      </c>
      <c r="E1170" s="7" t="str">
        <f>IFERROR(__xludf.DUMMYFUNCTION("""COMPUTED_VALUE"""),"Komm.ONE")</f>
        <v>Komm.ONE</v>
      </c>
      <c r="F1170" s="7" t="str">
        <f>IFERROR(__xludf.DUMMYFUNCTION("""COMPUTED_VALUE"""),"None")</f>
        <v>None</v>
      </c>
      <c r="G1170" s="7" t="str">
        <f>IFERROR(__xludf.DUMMYFUNCTION("""COMPUTED_VALUE"""),"No salary data")</f>
        <v>No salary data</v>
      </c>
      <c r="H1170" s="7" t="str">
        <f>IFERROR(__xludf.DUMMYFUNCTION("""COMPUTED_VALUE"""),"No salary data")</f>
        <v>No salary data</v>
      </c>
      <c r="I1170" s="7" t="str">
        <f>IFERROR(__xludf.DUMMYFUNCTION("""COMPUTED_VALUE"""),"No salary data")</f>
        <v>No salary data</v>
      </c>
      <c r="J1170" s="7"/>
      <c r="K1170" s="7" t="str">
        <f>IFERROR(__xludf.DUMMYFUNCTION("""COMPUTED_VALUE"""),"No job type data")</f>
        <v>No job type data</v>
      </c>
      <c r="L1170" s="7" t="str">
        <f>IFERROR(__xludf.DUMMYFUNCTION("""COMPUTED_VALUE"""),"None")</f>
        <v>None</v>
      </c>
      <c r="M1170" s="7"/>
      <c r="N1170" s="7"/>
      <c r="O1170" s="7"/>
    </row>
    <row r="1171">
      <c r="A1171" s="29">
        <f>IFERROR(__xludf.DUMMYFUNCTION("""COMPUTED_VALUE"""),1167.0)</f>
        <v>1167</v>
      </c>
      <c r="B1171" s="7" t="str">
        <f>IFERROR(__xludf.DUMMYFUNCTION("""COMPUTED_VALUE"""),"Gerade geschaltet")</f>
        <v>Gerade geschaltet</v>
      </c>
      <c r="C1171" s="7" t="str">
        <f>IFERROR(__xludf.DUMMYFUNCTION("""COMPUTED_VALUE"""),"IT Consultant / Data Warehouse Specialist (m/w/d)")</f>
        <v>IT Consultant / Data Warehouse Specialist (m/w/d)</v>
      </c>
      <c r="D1171" s="7" t="str">
        <f>IFERROR(__xludf.DUMMYFUNCTION("""COMPUTED_VALUE"""),"München")</f>
        <v>München</v>
      </c>
      <c r="E1171" s="7" t="str">
        <f>IFERROR(__xludf.DUMMYFUNCTION("""COMPUTED_VALUE"""),"DEVnet GmbH")</f>
        <v>DEVnet GmbH</v>
      </c>
      <c r="F1171" s="7" t="str">
        <f>IFERROR(__xludf.DUMMYFUNCTION("""COMPUTED_VALUE"""),"None")</f>
        <v>None</v>
      </c>
      <c r="G1171" s="7" t="str">
        <f>IFERROR(__xludf.DUMMYFUNCTION("""COMPUTED_VALUE"""),"No salary data")</f>
        <v>No salary data</v>
      </c>
      <c r="H1171" s="7" t="str">
        <f>IFERROR(__xludf.DUMMYFUNCTION("""COMPUTED_VALUE"""),"No salary data")</f>
        <v>No salary data</v>
      </c>
      <c r="I1171" s="7" t="str">
        <f>IFERROR(__xludf.DUMMYFUNCTION("""COMPUTED_VALUE"""),"No salary data")</f>
        <v>No salary data</v>
      </c>
      <c r="J1171" s="7"/>
      <c r="K1171" s="7" t="str">
        <f>IFERROR(__xludf.DUMMYFUNCTION("""COMPUTED_VALUE"""),"No job type data")</f>
        <v>No job type data</v>
      </c>
      <c r="L1171" s="7" t="str">
        <f>IFERROR(__xludf.DUMMYFUNCTION("""COMPUTED_VALUE"""),"None")</f>
        <v>None</v>
      </c>
      <c r="M1171" s="7"/>
      <c r="N1171" s="7"/>
      <c r="O1171" s="7"/>
    </row>
    <row r="1172">
      <c r="A1172" s="29">
        <f>IFERROR(__xludf.DUMMYFUNCTION("""COMPUTED_VALUE"""),1168.0)</f>
        <v>1168</v>
      </c>
      <c r="B1172" s="7" t="str">
        <f>IFERROR(__xludf.DUMMYFUNCTION("""COMPUTED_VALUE"""),"Gerade geschaltet")</f>
        <v>Gerade geschaltet</v>
      </c>
      <c r="C1172" s="7" t="str">
        <f>IFERROR(__xludf.DUMMYFUNCTION("""COMPUTED_VALUE"""),"Senior IT Consultant / Data Warehouse Specialist (m/w/d)")</f>
        <v>Senior IT Consultant / Data Warehouse Specialist (m/w/d)</v>
      </c>
      <c r="D1172" s="7" t="str">
        <f>IFERROR(__xludf.DUMMYFUNCTION("""COMPUTED_VALUE"""),"München")</f>
        <v>München</v>
      </c>
      <c r="E1172" s="7" t="str">
        <f>IFERROR(__xludf.DUMMYFUNCTION("""COMPUTED_VALUE"""),"DEVnet GmbH")</f>
        <v>DEVnet GmbH</v>
      </c>
      <c r="F1172" s="7" t="str">
        <f>IFERROR(__xludf.DUMMYFUNCTION("""COMPUTED_VALUE"""),"None")</f>
        <v>None</v>
      </c>
      <c r="G1172" s="7" t="str">
        <f>IFERROR(__xludf.DUMMYFUNCTION("""COMPUTED_VALUE"""),"No salary data")</f>
        <v>No salary data</v>
      </c>
      <c r="H1172" s="7" t="str">
        <f>IFERROR(__xludf.DUMMYFUNCTION("""COMPUTED_VALUE"""),"No salary data")</f>
        <v>No salary data</v>
      </c>
      <c r="I1172" s="7" t="str">
        <f>IFERROR(__xludf.DUMMYFUNCTION("""COMPUTED_VALUE"""),"No salary data")</f>
        <v>No salary data</v>
      </c>
      <c r="J1172" s="7"/>
      <c r="K1172" s="7" t="str">
        <f>IFERROR(__xludf.DUMMYFUNCTION("""COMPUTED_VALUE"""),"No job type data")</f>
        <v>No job type data</v>
      </c>
      <c r="L1172" s="7" t="str">
        <f>IFERROR(__xludf.DUMMYFUNCTION("""COMPUTED_VALUE"""),"None")</f>
        <v>None</v>
      </c>
      <c r="M1172" s="7"/>
      <c r="N1172" s="7"/>
      <c r="O1172" s="7"/>
    </row>
    <row r="1173">
      <c r="A1173" s="29">
        <f>IFERROR(__xludf.DUMMYFUNCTION("""COMPUTED_VALUE"""),1169.0)</f>
        <v>1169</v>
      </c>
      <c r="B1173" s="7" t="str">
        <f>IFERROR(__xludf.DUMMYFUNCTION("""COMPUTED_VALUE"""),"vor 12 Tagen")</f>
        <v>vor 12 Tagen</v>
      </c>
      <c r="C1173" s="7" t="str">
        <f>IFERROR(__xludf.DUMMYFUNCTION("""COMPUTED_VALUE"""),"Head of Master Data Management (m/w/d)")</f>
        <v>Head of Master Data Management (m/w/d)</v>
      </c>
      <c r="D1173" s="7" t="str">
        <f>IFERROR(__xludf.DUMMYFUNCTION("""COMPUTED_VALUE"""),"Wuppertal")</f>
        <v>Wuppertal</v>
      </c>
      <c r="E1173" s="7" t="str">
        <f>IFERROR(__xludf.DUMMYFUNCTION("""COMPUTED_VALUE"""),"BPW Aftermarket Group Deutschland GmbH")</f>
        <v>BPW Aftermarket Group Deutschland GmbH</v>
      </c>
      <c r="F1173" s="7" t="str">
        <f>IFERROR(__xludf.DUMMYFUNCTION("""COMPUTED_VALUE"""),"None")</f>
        <v>None</v>
      </c>
      <c r="G1173" s="7" t="str">
        <f>IFERROR(__xludf.DUMMYFUNCTION("""COMPUTED_VALUE"""),"No salary data")</f>
        <v>No salary data</v>
      </c>
      <c r="H1173" s="7" t="str">
        <f>IFERROR(__xludf.DUMMYFUNCTION("""COMPUTED_VALUE"""),"No salary data")</f>
        <v>No salary data</v>
      </c>
      <c r="I1173" s="7" t="str">
        <f>IFERROR(__xludf.DUMMYFUNCTION("""COMPUTED_VALUE"""),"No salary data")</f>
        <v>No salary data</v>
      </c>
      <c r="J1173" s="7"/>
      <c r="K1173" s="7" t="str">
        <f>IFERROR(__xludf.DUMMYFUNCTION("""COMPUTED_VALUE"""),"Permanent")</f>
        <v>Permanent</v>
      </c>
      <c r="L1173" s="7" t="str">
        <f>IFERROR(__xludf.DUMMYFUNCTION("""COMPUTED_VALUE"""),"None")</f>
        <v>None</v>
      </c>
      <c r="M1173" s="7"/>
      <c r="N1173" s="7"/>
      <c r="O1173" s="7"/>
    </row>
    <row r="1174">
      <c r="A1174" s="29">
        <f>IFERROR(__xludf.DUMMYFUNCTION("""COMPUTED_VALUE"""),1170.0)</f>
        <v>1170</v>
      </c>
      <c r="B1174" s="7" t="str">
        <f>IFERROR(__xludf.DUMMYFUNCTION("""COMPUTED_VALUE"""),"vor 3 Tagen")</f>
        <v>vor 3 Tagen</v>
      </c>
      <c r="C1174" s="7" t="str">
        <f>IFERROR(__xludf.DUMMYFUNCTION("""COMPUTED_VALUE"""),"Master Data Management-Specialist (w/m/d) im Bereich Maschin...")</f>
        <v>Master Data Management-Specialist (w/m/d) im Bereich Maschin...</v>
      </c>
      <c r="D1174" s="7" t="str">
        <f>IFERROR(__xludf.DUMMYFUNCTION("""COMPUTED_VALUE"""),"Hamburg")</f>
        <v>Hamburg</v>
      </c>
      <c r="E1174" s="7" t="str">
        <f>IFERROR(__xludf.DUMMYFUNCTION("""COMPUTED_VALUE"""),"Hemro Manufacturing Germany GmbH")</f>
        <v>Hemro Manufacturing Germany GmbH</v>
      </c>
      <c r="F1174" s="7" t="str">
        <f>IFERROR(__xludf.DUMMYFUNCTION("""COMPUTED_VALUE"""),"None")</f>
        <v>None</v>
      </c>
      <c r="G1174" s="7" t="str">
        <f>IFERROR(__xludf.DUMMYFUNCTION("""COMPUTED_VALUE"""),"No salary data")</f>
        <v>No salary data</v>
      </c>
      <c r="H1174" s="7" t="str">
        <f>IFERROR(__xludf.DUMMYFUNCTION("""COMPUTED_VALUE"""),"No salary data")</f>
        <v>No salary data</v>
      </c>
      <c r="I1174" s="7" t="str">
        <f>IFERROR(__xludf.DUMMYFUNCTION("""COMPUTED_VALUE"""),"No salary data")</f>
        <v>No salary data</v>
      </c>
      <c r="J1174" s="7"/>
      <c r="K1174" s="7" t="str">
        <f>IFERROR(__xludf.DUMMYFUNCTION("""COMPUTED_VALUE"""),"No job type data")</f>
        <v>No job type data</v>
      </c>
      <c r="L1174" s="7" t="str">
        <f>IFERROR(__xludf.DUMMYFUNCTION("""COMPUTED_VALUE"""),"None")</f>
        <v>None</v>
      </c>
      <c r="M1174" s="7"/>
      <c r="N1174" s="7"/>
      <c r="O1174" s="7"/>
    </row>
    <row r="1175">
      <c r="A1175" s="29">
        <f>IFERROR(__xludf.DUMMYFUNCTION("""COMPUTED_VALUE"""),1171.0)</f>
        <v>1171</v>
      </c>
      <c r="B1175" s="7" t="str">
        <f>IFERROR(__xludf.DUMMYFUNCTION("""COMPUTED_VALUE"""),"vor 9 Tagen")</f>
        <v>vor 9 Tagen</v>
      </c>
      <c r="C1175" s="7" t="str">
        <f>IFERROR(__xludf.DUMMYFUNCTION("""COMPUTED_VALUE"""),"Fachinformiker Daten- und Prozessanalyse (m/w/d) – 2020")</f>
        <v>Fachinformiker Daten- und Prozessanalyse (m/w/d) – 2020</v>
      </c>
      <c r="D1175" s="7" t="str">
        <f>IFERROR(__xludf.DUMMYFUNCTION("""COMPUTED_VALUE"""),"Nürnberg")</f>
        <v>Nürnberg</v>
      </c>
      <c r="E1175" s="7" t="str">
        <f>IFERROR(__xludf.DUMMYFUNCTION("""COMPUTED_VALUE"""),"Immowelt AG")</f>
        <v>Immowelt AG</v>
      </c>
      <c r="F1175" s="7" t="str">
        <f>IFERROR(__xludf.DUMMYFUNCTION("""COMPUTED_VALUE"""),"None")</f>
        <v>None</v>
      </c>
      <c r="G1175" s="7" t="str">
        <f>IFERROR(__xludf.DUMMYFUNCTION("""COMPUTED_VALUE"""),"No salary data")</f>
        <v>No salary data</v>
      </c>
      <c r="H1175" s="7" t="str">
        <f>IFERROR(__xludf.DUMMYFUNCTION("""COMPUTED_VALUE"""),"No salary data")</f>
        <v>No salary data</v>
      </c>
      <c r="I1175" s="7" t="str">
        <f>IFERROR(__xludf.DUMMYFUNCTION("""COMPUTED_VALUE"""),"No salary data")</f>
        <v>No salary data</v>
      </c>
      <c r="J1175" s="7" t="str">
        <f>IFERROR(__xludf.DUMMYFUNCTION("""COMPUTED_VALUE"""),"SQL, Git")</f>
        <v>SQL, Git</v>
      </c>
      <c r="K1175" s="7" t="str">
        <f>IFERROR(__xludf.DUMMYFUNCTION("""COMPUTED_VALUE"""),"No job type data")</f>
        <v>No job type data</v>
      </c>
      <c r="L1175" s="7" t="str">
        <f>IFERROR(__xludf.DUMMYFUNCTION("""COMPUTED_VALUE"""),"3,5")</f>
        <v>3,5</v>
      </c>
      <c r="M1175" s="7"/>
      <c r="N1175" s="7"/>
      <c r="O1175" s="7"/>
    </row>
    <row r="1176">
      <c r="A1176" s="29">
        <f>IFERROR(__xludf.DUMMYFUNCTION("""COMPUTED_VALUE"""),1172.0)</f>
        <v>1172</v>
      </c>
      <c r="B1176" s="7" t="str">
        <f>IFERROR(__xludf.DUMMYFUNCTION("""COMPUTED_VALUE"""),"Gerade geschaltet")</f>
        <v>Gerade geschaltet</v>
      </c>
      <c r="C1176" s="7" t="str">
        <f>IFERROR(__xludf.DUMMYFUNCTION("""COMPUTED_VALUE"""),"IT Consultant / Data Warehouse Specialist (m/w/d)")</f>
        <v>IT Consultant / Data Warehouse Specialist (m/w/d)</v>
      </c>
      <c r="D1176" s="7" t="str">
        <f>IFERROR(__xludf.DUMMYFUNCTION("""COMPUTED_VALUE"""),"München")</f>
        <v>München</v>
      </c>
      <c r="E1176" s="7" t="str">
        <f>IFERROR(__xludf.DUMMYFUNCTION("""COMPUTED_VALUE"""),"DEVnet GmbH")</f>
        <v>DEVnet GmbH</v>
      </c>
      <c r="F1176" s="7" t="str">
        <f>IFERROR(__xludf.DUMMYFUNCTION("""COMPUTED_VALUE"""),"None")</f>
        <v>None</v>
      </c>
      <c r="G1176" s="7" t="str">
        <f>IFERROR(__xludf.DUMMYFUNCTION("""COMPUTED_VALUE"""),"No salary data")</f>
        <v>No salary data</v>
      </c>
      <c r="H1176" s="7" t="str">
        <f>IFERROR(__xludf.DUMMYFUNCTION("""COMPUTED_VALUE"""),"No salary data")</f>
        <v>No salary data</v>
      </c>
      <c r="I1176" s="7" t="str">
        <f>IFERROR(__xludf.DUMMYFUNCTION("""COMPUTED_VALUE"""),"No salary data")</f>
        <v>No salary data</v>
      </c>
      <c r="J1176" s="7"/>
      <c r="K1176" s="7" t="str">
        <f>IFERROR(__xludf.DUMMYFUNCTION("""COMPUTED_VALUE"""),"No job type data")</f>
        <v>No job type data</v>
      </c>
      <c r="L1176" s="7" t="str">
        <f>IFERROR(__xludf.DUMMYFUNCTION("""COMPUTED_VALUE"""),"None")</f>
        <v>None</v>
      </c>
      <c r="M1176" s="7"/>
      <c r="N1176" s="7"/>
      <c r="O1176" s="7"/>
    </row>
    <row r="1177">
      <c r="A1177" s="29">
        <f>IFERROR(__xludf.DUMMYFUNCTION("""COMPUTED_VALUE"""),1173.0)</f>
        <v>1173</v>
      </c>
      <c r="B1177" s="7" t="str">
        <f>IFERROR(__xludf.DUMMYFUNCTION("""COMPUTED_VALUE"""),"vor 9 Tagen")</f>
        <v>vor 9 Tagen</v>
      </c>
      <c r="C1177" s="7" t="str">
        <f>IFERROR(__xludf.DUMMYFUNCTION("""COMPUTED_VALUE"""),"Fachinformiker Daten- und Prozessanalyse (m/w/d) – 2020")</f>
        <v>Fachinformiker Daten- und Prozessanalyse (m/w/d) – 2020</v>
      </c>
      <c r="D1177" s="7" t="str">
        <f>IFERROR(__xludf.DUMMYFUNCTION("""COMPUTED_VALUE"""),"Nürnberg")</f>
        <v>Nürnberg</v>
      </c>
      <c r="E1177" s="7" t="str">
        <f>IFERROR(__xludf.DUMMYFUNCTION("""COMPUTED_VALUE"""),"Immowelt AG")</f>
        <v>Immowelt AG</v>
      </c>
      <c r="F1177" s="7" t="str">
        <f>IFERROR(__xludf.DUMMYFUNCTION("""COMPUTED_VALUE"""),"None")</f>
        <v>None</v>
      </c>
      <c r="G1177" s="7" t="str">
        <f>IFERROR(__xludf.DUMMYFUNCTION("""COMPUTED_VALUE"""),"No salary data")</f>
        <v>No salary data</v>
      </c>
      <c r="H1177" s="7" t="str">
        <f>IFERROR(__xludf.DUMMYFUNCTION("""COMPUTED_VALUE"""),"No salary data")</f>
        <v>No salary data</v>
      </c>
      <c r="I1177" s="7" t="str">
        <f>IFERROR(__xludf.DUMMYFUNCTION("""COMPUTED_VALUE"""),"No salary data")</f>
        <v>No salary data</v>
      </c>
      <c r="J1177" s="7" t="str">
        <f>IFERROR(__xludf.DUMMYFUNCTION("""COMPUTED_VALUE"""),"SQL, Git")</f>
        <v>SQL, Git</v>
      </c>
      <c r="K1177" s="7" t="str">
        <f>IFERROR(__xludf.DUMMYFUNCTION("""COMPUTED_VALUE"""),"No job type data")</f>
        <v>No job type data</v>
      </c>
      <c r="L1177" s="7" t="str">
        <f>IFERROR(__xludf.DUMMYFUNCTION("""COMPUTED_VALUE"""),"3,5")</f>
        <v>3,5</v>
      </c>
      <c r="M1177" s="7"/>
      <c r="N1177" s="7"/>
      <c r="O1177" s="7"/>
    </row>
    <row r="1178">
      <c r="A1178" s="29">
        <f>IFERROR(__xludf.DUMMYFUNCTION("""COMPUTED_VALUE"""),1174.0)</f>
        <v>1174</v>
      </c>
      <c r="B1178" s="7" t="str">
        <f>IFERROR(__xludf.DUMMYFUNCTION("""COMPUTED_VALUE"""),"vor 9 Tagen")</f>
        <v>vor 9 Tagen</v>
      </c>
      <c r="C1178" s="7" t="str">
        <f>IFERROR(__xludf.DUMMYFUNCTION("""COMPUTED_VALUE"""),"Fachinformatiker für Anwendungsentwicklung im Bereich Busine...")</f>
        <v>Fachinformatiker für Anwendungsentwicklung im Bereich Busine...</v>
      </c>
      <c r="D1178" s="7" t="str">
        <f>IFERROR(__xludf.DUMMYFUNCTION("""COMPUTED_VALUE"""),"Nürnberg")</f>
        <v>Nürnberg</v>
      </c>
      <c r="E1178" s="7" t="str">
        <f>IFERROR(__xludf.DUMMYFUNCTION("""COMPUTED_VALUE"""),"Immowelt AG")</f>
        <v>Immowelt AG</v>
      </c>
      <c r="F1178" s="7" t="str">
        <f>IFERROR(__xludf.DUMMYFUNCTION("""COMPUTED_VALUE"""),"None")</f>
        <v>None</v>
      </c>
      <c r="G1178" s="7" t="str">
        <f>IFERROR(__xludf.DUMMYFUNCTION("""COMPUTED_VALUE"""),"No salary data")</f>
        <v>No salary data</v>
      </c>
      <c r="H1178" s="7" t="str">
        <f>IFERROR(__xludf.DUMMYFUNCTION("""COMPUTED_VALUE"""),"No salary data")</f>
        <v>No salary data</v>
      </c>
      <c r="I1178" s="7" t="str">
        <f>IFERROR(__xludf.DUMMYFUNCTION("""COMPUTED_VALUE"""),"No salary data")</f>
        <v>No salary data</v>
      </c>
      <c r="J1178" s="7" t="str">
        <f>IFERROR(__xludf.DUMMYFUNCTION("""COMPUTED_VALUE"""),"SQL, Git")</f>
        <v>SQL, Git</v>
      </c>
      <c r="K1178" s="7" t="str">
        <f>IFERROR(__xludf.DUMMYFUNCTION("""COMPUTED_VALUE"""),"No job type data")</f>
        <v>No job type data</v>
      </c>
      <c r="L1178" s="7" t="str">
        <f>IFERROR(__xludf.DUMMYFUNCTION("""COMPUTED_VALUE"""),"3,5")</f>
        <v>3,5</v>
      </c>
      <c r="M1178" s="7"/>
      <c r="N1178" s="7"/>
      <c r="O1178" s="7"/>
    </row>
    <row r="1179">
      <c r="A1179" s="29">
        <f>IFERROR(__xludf.DUMMYFUNCTION("""COMPUTED_VALUE"""),1175.0)</f>
        <v>1175</v>
      </c>
      <c r="B1179" s="7" t="str">
        <f>IFERROR(__xludf.DUMMYFUNCTION("""COMPUTED_VALUE"""),"vor 26 Tagen")</f>
        <v>vor 26 Tagen</v>
      </c>
      <c r="C1179" s="7" t="str">
        <f>IFERROR(__xludf.DUMMYFUNCTION("""COMPUTED_VALUE"""),"Data Manager (m/w/divers) Produktdaten / PIM")</f>
        <v>Data Manager (m/w/divers) Produktdaten / PIM</v>
      </c>
      <c r="D1179" s="7" t="str">
        <f>IFERROR(__xludf.DUMMYFUNCTION("""COMPUTED_VALUE"""),"Kempenich")</f>
        <v>Kempenich</v>
      </c>
      <c r="E1179" s="7" t="str">
        <f>IFERROR(__xludf.DUMMYFUNCTION("""COMPUTED_VALUE"""),"wolfcraft GmbH")</f>
        <v>wolfcraft GmbH</v>
      </c>
      <c r="F1179" s="7" t="str">
        <f>IFERROR(__xludf.DUMMYFUNCTION("""COMPUTED_VALUE"""),"None")</f>
        <v>None</v>
      </c>
      <c r="G1179" s="7" t="str">
        <f>IFERROR(__xludf.DUMMYFUNCTION("""COMPUTED_VALUE"""),"No salary data")</f>
        <v>No salary data</v>
      </c>
      <c r="H1179" s="7" t="str">
        <f>IFERROR(__xludf.DUMMYFUNCTION("""COMPUTED_VALUE"""),"No salary data")</f>
        <v>No salary data</v>
      </c>
      <c r="I1179" s="7" t="str">
        <f>IFERROR(__xludf.DUMMYFUNCTION("""COMPUTED_VALUE"""),"No salary data")</f>
        <v>No salary data</v>
      </c>
      <c r="J1179" s="7" t="str">
        <f>IFERROR(__xludf.DUMMYFUNCTION("""COMPUTED_VALUE"""),"Agile")</f>
        <v>Agile</v>
      </c>
      <c r="K1179" s="7" t="str">
        <f>IFERROR(__xludf.DUMMYFUNCTION("""COMPUTED_VALUE"""),"No job type data")</f>
        <v>No job type data</v>
      </c>
      <c r="L1179" s="7" t="str">
        <f>IFERROR(__xludf.DUMMYFUNCTION("""COMPUTED_VALUE"""),"4,3")</f>
        <v>4,3</v>
      </c>
      <c r="M1179" s="7"/>
      <c r="N1179" s="7"/>
      <c r="O1179" s="7"/>
    </row>
    <row r="1180">
      <c r="A1180" s="29">
        <f>IFERROR(__xludf.DUMMYFUNCTION("""COMPUTED_VALUE"""),1176.0)</f>
        <v>1176</v>
      </c>
      <c r="B1180" s="7" t="str">
        <f>IFERROR(__xludf.DUMMYFUNCTION("""COMPUTED_VALUE"""),"Vor mehr als 30 Tagen")</f>
        <v>Vor mehr als 30 Tagen</v>
      </c>
      <c r="C1180" s="7" t="str">
        <f>IFERROR(__xludf.DUMMYFUNCTION("""COMPUTED_VALUE"""),"Financial Data Analyst Data Quality Management (m/w/d)")</f>
        <v>Financial Data Analyst Data Quality Management (m/w/d)</v>
      </c>
      <c r="D1180" s="7" t="str">
        <f>IFERROR(__xludf.DUMMYFUNCTION("""COMPUTED_VALUE"""),"Dresden")</f>
        <v>Dresden</v>
      </c>
      <c r="E1180" s="7" t="str">
        <f>IFERROR(__xludf.DUMMYFUNCTION("""COMPUTED_VALUE"""),"Index Intelligence GmbH")</f>
        <v>Index Intelligence GmbH</v>
      </c>
      <c r="F1180" s="7" t="str">
        <f>IFERROR(__xludf.DUMMYFUNCTION("""COMPUTED_VALUE"""),"None")</f>
        <v>None</v>
      </c>
      <c r="G1180" s="7" t="str">
        <f>IFERROR(__xludf.DUMMYFUNCTION("""COMPUTED_VALUE"""),"No salary data")</f>
        <v>No salary data</v>
      </c>
      <c r="H1180" s="7" t="str">
        <f>IFERROR(__xludf.DUMMYFUNCTION("""COMPUTED_VALUE"""),"No salary data")</f>
        <v>No salary data</v>
      </c>
      <c r="I1180" s="7" t="str">
        <f>IFERROR(__xludf.DUMMYFUNCTION("""COMPUTED_VALUE"""),"No salary data")</f>
        <v>No salary data</v>
      </c>
      <c r="J1180" s="7" t="str">
        <f>IFERROR(__xludf.DUMMYFUNCTION("""COMPUTED_VALUE"""),"SQL, Excel")</f>
        <v>SQL, Excel</v>
      </c>
      <c r="K1180" s="7" t="str">
        <f>IFERROR(__xludf.DUMMYFUNCTION("""COMPUTED_VALUE"""),"No job type data")</f>
        <v>No job type data</v>
      </c>
      <c r="L1180" s="7" t="str">
        <f>IFERROR(__xludf.DUMMYFUNCTION("""COMPUTED_VALUE"""),"None")</f>
        <v>None</v>
      </c>
      <c r="M1180" s="7"/>
      <c r="N1180" s="7"/>
      <c r="O1180" s="7"/>
    </row>
    <row r="1181">
      <c r="A1181" s="29">
        <f>IFERROR(__xludf.DUMMYFUNCTION("""COMPUTED_VALUE"""),1177.0)</f>
        <v>1177</v>
      </c>
      <c r="B1181" s="7" t="str">
        <f>IFERROR(__xludf.DUMMYFUNCTION("""COMPUTED_VALUE"""),"vor 13 Tagen")</f>
        <v>vor 13 Tagen</v>
      </c>
      <c r="C1181" s="7" t="str">
        <f>IFERROR(__xludf.DUMMYFUNCTION("""COMPUTED_VALUE"""),"(Junior) Business Intelligence Developer/Data Warehouse (m/w...")</f>
        <v>(Junior) Business Intelligence Developer/Data Warehouse (m/w...</v>
      </c>
      <c r="D1181" s="7" t="str">
        <f>IFERROR(__xludf.DUMMYFUNCTION("""COMPUTED_VALUE"""),"Nürnberg")</f>
        <v>Nürnberg</v>
      </c>
      <c r="E1181" s="7" t="str">
        <f>IFERROR(__xludf.DUMMYFUNCTION("""COMPUTED_VALUE"""),"Immowelt AG")</f>
        <v>Immowelt AG</v>
      </c>
      <c r="F1181" s="7" t="str">
        <f>IFERROR(__xludf.DUMMYFUNCTION("""COMPUTED_VALUE"""),"None")</f>
        <v>None</v>
      </c>
      <c r="G1181" s="7" t="str">
        <f>IFERROR(__xludf.DUMMYFUNCTION("""COMPUTED_VALUE"""),"No salary data")</f>
        <v>No salary data</v>
      </c>
      <c r="H1181" s="7" t="str">
        <f>IFERROR(__xludf.DUMMYFUNCTION("""COMPUTED_VALUE"""),"No salary data")</f>
        <v>No salary data</v>
      </c>
      <c r="I1181" s="7" t="str">
        <f>IFERROR(__xludf.DUMMYFUNCTION("""COMPUTED_VALUE"""),"No salary data")</f>
        <v>No salary data</v>
      </c>
      <c r="J1181" s="7" t="str">
        <f>IFERROR(__xludf.DUMMYFUNCTION("""COMPUTED_VALUE"""),"Python, SQL")</f>
        <v>Python, SQL</v>
      </c>
      <c r="K1181" s="7" t="str">
        <f>IFERROR(__xludf.DUMMYFUNCTION("""COMPUTED_VALUE"""),"No job type data")</f>
        <v>No job type data</v>
      </c>
      <c r="L1181" s="7" t="str">
        <f>IFERROR(__xludf.DUMMYFUNCTION("""COMPUTED_VALUE"""),"3,5")</f>
        <v>3,5</v>
      </c>
      <c r="M1181" s="7"/>
      <c r="N1181" s="7"/>
      <c r="O1181" s="7"/>
    </row>
    <row r="1182">
      <c r="A1182" s="29">
        <f>IFERROR(__xludf.DUMMYFUNCTION("""COMPUTED_VALUE"""),1178.0)</f>
        <v>1178</v>
      </c>
      <c r="B1182" s="7" t="str">
        <f>IFERROR(__xludf.DUMMYFUNCTION("""COMPUTED_VALUE"""),"vor 13 Tagen")</f>
        <v>vor 13 Tagen</v>
      </c>
      <c r="C1182" s="7" t="str">
        <f>IFERROR(__xludf.DUMMYFUNCTION("""COMPUTED_VALUE"""),"(Junior) Business Intelligence Developer/Data Warehouse (m/w...")</f>
        <v>(Junior) Business Intelligence Developer/Data Warehouse (m/w...</v>
      </c>
      <c r="D1182" s="7" t="str">
        <f>IFERROR(__xludf.DUMMYFUNCTION("""COMPUTED_VALUE"""),"Nürnberg")</f>
        <v>Nürnberg</v>
      </c>
      <c r="E1182" s="7" t="str">
        <f>IFERROR(__xludf.DUMMYFUNCTION("""COMPUTED_VALUE"""),"Immowelt AG")</f>
        <v>Immowelt AG</v>
      </c>
      <c r="F1182" s="7" t="str">
        <f>IFERROR(__xludf.DUMMYFUNCTION("""COMPUTED_VALUE"""),"None")</f>
        <v>None</v>
      </c>
      <c r="G1182" s="7" t="str">
        <f>IFERROR(__xludf.DUMMYFUNCTION("""COMPUTED_VALUE"""),"No salary data")</f>
        <v>No salary data</v>
      </c>
      <c r="H1182" s="7" t="str">
        <f>IFERROR(__xludf.DUMMYFUNCTION("""COMPUTED_VALUE"""),"No salary data")</f>
        <v>No salary data</v>
      </c>
      <c r="I1182" s="7" t="str">
        <f>IFERROR(__xludf.DUMMYFUNCTION("""COMPUTED_VALUE"""),"No salary data")</f>
        <v>No salary data</v>
      </c>
      <c r="J1182" s="7" t="str">
        <f>IFERROR(__xludf.DUMMYFUNCTION("""COMPUTED_VALUE"""),"Python, SQL")</f>
        <v>Python, SQL</v>
      </c>
      <c r="K1182" s="7" t="str">
        <f>IFERROR(__xludf.DUMMYFUNCTION("""COMPUTED_VALUE"""),"No job type data")</f>
        <v>No job type data</v>
      </c>
      <c r="L1182" s="7" t="str">
        <f>IFERROR(__xludf.DUMMYFUNCTION("""COMPUTED_VALUE"""),"3,5")</f>
        <v>3,5</v>
      </c>
      <c r="M1182" s="7"/>
      <c r="N1182" s="7"/>
      <c r="O1182" s="7"/>
    </row>
    <row r="1183">
      <c r="A1183" s="29">
        <f>IFERROR(__xludf.DUMMYFUNCTION("""COMPUTED_VALUE"""),1179.0)</f>
        <v>1179</v>
      </c>
      <c r="B1183" s="7" t="str">
        <f>IFERROR(__xludf.DUMMYFUNCTION("""COMPUTED_VALUE"""),"vor 12 Tagen")</f>
        <v>vor 12 Tagen</v>
      </c>
      <c r="C1183" s="7" t="str">
        <f>IFERROR(__xludf.DUMMYFUNCTION("""COMPUTED_VALUE"""),"IT Business Analyst (m/w/d)")</f>
        <v>IT Business Analyst (m/w/d)</v>
      </c>
      <c r="D1183" s="7" t="str">
        <f>IFERROR(__xludf.DUMMYFUNCTION("""COMPUTED_VALUE"""),"Mönchengladbach")</f>
        <v>Mönchengladbach</v>
      </c>
      <c r="E1183" s="7" t="str">
        <f>IFERROR(__xludf.DUMMYFUNCTION("""COMPUTED_VALUE"""),"Refresco Deutschland GmbH")</f>
        <v>Refresco Deutschland GmbH</v>
      </c>
      <c r="F1183" s="7" t="str">
        <f>IFERROR(__xludf.DUMMYFUNCTION("""COMPUTED_VALUE"""),"None")</f>
        <v>None</v>
      </c>
      <c r="G1183" s="7" t="str">
        <f>IFERROR(__xludf.DUMMYFUNCTION("""COMPUTED_VALUE"""),"No salary data")</f>
        <v>No salary data</v>
      </c>
      <c r="H1183" s="7" t="str">
        <f>IFERROR(__xludf.DUMMYFUNCTION("""COMPUTED_VALUE"""),"No salary data")</f>
        <v>No salary data</v>
      </c>
      <c r="I1183" s="7" t="str">
        <f>IFERROR(__xludf.DUMMYFUNCTION("""COMPUTED_VALUE"""),"No salary data")</f>
        <v>No salary data</v>
      </c>
      <c r="J1183" s="7" t="str">
        <f>IFERROR(__xludf.DUMMYFUNCTION("""COMPUTED_VALUE"""),"Git, Agile, Scrum")</f>
        <v>Git, Agile, Scrum</v>
      </c>
      <c r="K1183" s="7" t="str">
        <f>IFERROR(__xludf.DUMMYFUNCTION("""COMPUTED_VALUE"""),"No job type data")</f>
        <v>No job type data</v>
      </c>
      <c r="L1183" s="7" t="str">
        <f>IFERROR(__xludf.DUMMYFUNCTION("""COMPUTED_VALUE"""),"2,9")</f>
        <v>2,9</v>
      </c>
      <c r="M1183" s="7"/>
      <c r="N1183" s="7"/>
      <c r="O1183" s="7"/>
    </row>
    <row r="1184">
      <c r="A1184" s="29">
        <f>IFERROR(__xludf.DUMMYFUNCTION("""COMPUTED_VALUE"""),1180.0)</f>
        <v>1180</v>
      </c>
      <c r="B1184" s="7" t="str">
        <f>IFERROR(__xludf.DUMMYFUNCTION("""COMPUTED_VALUE"""),"vor 4 Tagen")</f>
        <v>vor 4 Tagen</v>
      </c>
      <c r="C1184" s="7" t="str">
        <f>IFERROR(__xludf.DUMMYFUNCTION("""COMPUTED_VALUE"""),"Für Freelancer: Softwareentwickler mit Schwerpunkt Data Anal...")</f>
        <v>Für Freelancer: Softwareentwickler mit Schwerpunkt Data Anal...</v>
      </c>
      <c r="D1184" s="7" t="str">
        <f>IFERROR(__xludf.DUMMYFUNCTION("""COMPUTED_VALUE"""),"Berlin")</f>
        <v>Berlin</v>
      </c>
      <c r="E1184" s="7" t="str">
        <f>IFERROR(__xludf.DUMMYFUNCTION("""COMPUTED_VALUE"""),"None")</f>
        <v>None</v>
      </c>
      <c r="F1184" s="7" t="str">
        <f>IFERROR(__xludf.DUMMYFUNCTION("""COMPUTED_VALUE"""),"None")</f>
        <v>None</v>
      </c>
      <c r="G1184" s="7" t="str">
        <f>IFERROR(__xludf.DUMMYFUNCTION("""COMPUTED_VALUE"""),"No salary data")</f>
        <v>No salary data</v>
      </c>
      <c r="H1184" s="7" t="str">
        <f>IFERROR(__xludf.DUMMYFUNCTION("""COMPUTED_VALUE"""),"No salary data")</f>
        <v>No salary data</v>
      </c>
      <c r="I1184" s="7" t="str">
        <f>IFERROR(__xludf.DUMMYFUNCTION("""COMPUTED_VALUE"""),"No salary data")</f>
        <v>No salary data</v>
      </c>
      <c r="J1184" s="7"/>
      <c r="K1184" s="7" t="str">
        <f>IFERROR(__xludf.DUMMYFUNCTION("""COMPUTED_VALUE"""),"No job type data")</f>
        <v>No job type data</v>
      </c>
      <c r="L1184" s="7" t="str">
        <f>IFERROR(__xludf.DUMMYFUNCTION("""COMPUTED_VALUE"""),"None")</f>
        <v>None</v>
      </c>
      <c r="M1184" s="7"/>
      <c r="N1184" s="7"/>
      <c r="O1184" s="7"/>
    </row>
    <row r="1185">
      <c r="A1185" s="29">
        <f>IFERROR(__xludf.DUMMYFUNCTION("""COMPUTED_VALUE"""),1181.0)</f>
        <v>1181</v>
      </c>
      <c r="B1185" s="7" t="str">
        <f>IFERROR(__xludf.DUMMYFUNCTION("""COMPUTED_VALUE"""),"Vor mehr als 30 Tagen")</f>
        <v>Vor mehr als 30 Tagen</v>
      </c>
      <c r="C1185" s="7" t="str">
        <f>IFERROR(__xludf.DUMMYFUNCTION("""COMPUTED_VALUE"""),"Für Freelancer: Data Warehouse Manager (w/m/d) in Frankfurt...")</f>
        <v>Für Freelancer: Data Warehouse Manager (w/m/d) in Frankfurt...</v>
      </c>
      <c r="D1185" s="7" t="str">
        <f>IFERROR(__xludf.DUMMYFUNCTION("""COMPUTED_VALUE"""),"Frankfurt am Main")</f>
        <v>Frankfurt am Main</v>
      </c>
      <c r="E1185" s="7" t="str">
        <f>IFERROR(__xludf.DUMMYFUNCTION("""COMPUTED_VALUE"""),"None")</f>
        <v>None</v>
      </c>
      <c r="F1185" s="7" t="str">
        <f>IFERROR(__xludf.DUMMYFUNCTION("""COMPUTED_VALUE"""),"None")</f>
        <v>None</v>
      </c>
      <c r="G1185" s="7" t="str">
        <f>IFERROR(__xludf.DUMMYFUNCTION("""COMPUTED_VALUE"""),"No salary data")</f>
        <v>No salary data</v>
      </c>
      <c r="H1185" s="7" t="str">
        <f>IFERROR(__xludf.DUMMYFUNCTION("""COMPUTED_VALUE"""),"No salary data")</f>
        <v>No salary data</v>
      </c>
      <c r="I1185" s="7" t="str">
        <f>IFERROR(__xludf.DUMMYFUNCTION("""COMPUTED_VALUE"""),"No salary data")</f>
        <v>No salary data</v>
      </c>
      <c r="J1185" s="7" t="str">
        <f>IFERROR(__xludf.DUMMYFUNCTION("""COMPUTED_VALUE"""),"SQL")</f>
        <v>SQL</v>
      </c>
      <c r="K1185" s="7" t="str">
        <f>IFERROR(__xludf.DUMMYFUNCTION("""COMPUTED_VALUE"""),"No job type data")</f>
        <v>No job type data</v>
      </c>
      <c r="L1185" s="7" t="str">
        <f>IFERROR(__xludf.DUMMYFUNCTION("""COMPUTED_VALUE"""),"None")</f>
        <v>None</v>
      </c>
      <c r="M1185" s="7"/>
      <c r="N1185" s="7"/>
      <c r="O1185" s="7"/>
    </row>
    <row r="1186">
      <c r="A1186" s="29">
        <f>IFERROR(__xludf.DUMMYFUNCTION("""COMPUTED_VALUE"""),1182.0)</f>
        <v>1182</v>
      </c>
      <c r="B1186" s="7" t="str">
        <f>IFERROR(__xludf.DUMMYFUNCTION("""COMPUTED_VALUE"""),"vor 19 Tagen")</f>
        <v>vor 19 Tagen</v>
      </c>
      <c r="C1186" s="7" t="str">
        <f>IFERROR(__xludf.DUMMYFUNCTION("""COMPUTED_VALUE"""),"Meta Analysis - consultant")</f>
        <v>Meta Analysis - consultant</v>
      </c>
      <c r="D1186" s="7" t="str">
        <f>IFERROR(__xludf.DUMMYFUNCTION("""COMPUTED_VALUE"""),"Deutschland")</f>
        <v>Deutschland</v>
      </c>
      <c r="E1186" s="7" t="str">
        <f>IFERROR(__xludf.DUMMYFUNCTION("""COMPUTED_VALUE"""),"Barrington James")</f>
        <v>Barrington James</v>
      </c>
      <c r="F1186" s="7" t="str">
        <f>IFERROR(__xludf.DUMMYFUNCTION("""COMPUTED_VALUE"""),"None")</f>
        <v>None</v>
      </c>
      <c r="G1186" s="7" t="str">
        <f>IFERROR(__xludf.DUMMYFUNCTION("""COMPUTED_VALUE"""),"No salary data")</f>
        <v>No salary data</v>
      </c>
      <c r="H1186" s="7" t="str">
        <f>IFERROR(__xludf.DUMMYFUNCTION("""COMPUTED_VALUE"""),"No salary data")</f>
        <v>No salary data</v>
      </c>
      <c r="I1186" s="7" t="str">
        <f>IFERROR(__xludf.DUMMYFUNCTION("""COMPUTED_VALUE"""),"No salary data")</f>
        <v>No salary data</v>
      </c>
      <c r="J1186" s="7" t="str">
        <f>IFERROR(__xludf.DUMMYFUNCTION("""COMPUTED_VALUE"""),"Statistic")</f>
        <v>Statistic</v>
      </c>
      <c r="K1186" s="7" t="str">
        <f>IFERROR(__xludf.DUMMYFUNCTION("""COMPUTED_VALUE"""),"No job type data")</f>
        <v>No job type data</v>
      </c>
      <c r="L1186" s="7" t="str">
        <f>IFERROR(__xludf.DUMMYFUNCTION("""COMPUTED_VALUE"""),"None")</f>
        <v>None</v>
      </c>
      <c r="M1186" s="7"/>
      <c r="N1186" s="7"/>
      <c r="O1186" s="7"/>
    </row>
    <row r="1187">
      <c r="A1187" s="29">
        <f>IFERROR(__xludf.DUMMYFUNCTION("""COMPUTED_VALUE"""),1183.0)</f>
        <v>1183</v>
      </c>
      <c r="B1187" s="7" t="str">
        <f>IFERROR(__xludf.DUMMYFUNCTION("""COMPUTED_VALUE"""),"vor 17 Tagen")</f>
        <v>vor 17 Tagen</v>
      </c>
      <c r="C1187" s="7" t="str">
        <f>IFERROR(__xludf.DUMMYFUNCTION("""COMPUTED_VALUE"""),"Für Freelancer: IT Projektmanager GMP (w/d/m)")</f>
        <v>Für Freelancer: IT Projektmanager GMP (w/d/m)</v>
      </c>
      <c r="D1187" s="7" t="str">
        <f>IFERROR(__xludf.DUMMYFUNCTION("""COMPUTED_VALUE"""),"Leverkusen")</f>
        <v>Leverkusen</v>
      </c>
      <c r="E1187" s="7" t="str">
        <f>IFERROR(__xludf.DUMMYFUNCTION("""COMPUTED_VALUE"""),"None")</f>
        <v>None</v>
      </c>
      <c r="F1187" s="7" t="str">
        <f>IFERROR(__xludf.DUMMYFUNCTION("""COMPUTED_VALUE"""),"None")</f>
        <v>None</v>
      </c>
      <c r="G1187" s="7" t="str">
        <f>IFERROR(__xludf.DUMMYFUNCTION("""COMPUTED_VALUE"""),"No salary data")</f>
        <v>No salary data</v>
      </c>
      <c r="H1187" s="7" t="str">
        <f>IFERROR(__xludf.DUMMYFUNCTION("""COMPUTED_VALUE"""),"No salary data")</f>
        <v>No salary data</v>
      </c>
      <c r="I1187" s="7" t="str">
        <f>IFERROR(__xludf.DUMMYFUNCTION("""COMPUTED_VALUE"""),"No salary data")</f>
        <v>No salary data</v>
      </c>
      <c r="J1187" s="7"/>
      <c r="K1187" s="7" t="str">
        <f>IFERROR(__xludf.DUMMYFUNCTION("""COMPUTED_VALUE"""),"No job type data")</f>
        <v>No job type data</v>
      </c>
      <c r="L1187" s="7" t="str">
        <f>IFERROR(__xludf.DUMMYFUNCTION("""COMPUTED_VALUE"""),"None")</f>
        <v>None</v>
      </c>
      <c r="M1187" s="7"/>
      <c r="N1187" s="7"/>
      <c r="O1187" s="7"/>
    </row>
    <row r="1188">
      <c r="A1188" s="29">
        <f>IFERROR(__xludf.DUMMYFUNCTION("""COMPUTED_VALUE"""),1184.0)</f>
        <v>1184</v>
      </c>
      <c r="B1188" s="7" t="str">
        <f>IFERROR(__xludf.DUMMYFUNCTION("""COMPUTED_VALUE"""),"vor 5 Tagen")</f>
        <v>vor 5 Tagen</v>
      </c>
      <c r="C1188" s="7" t="str">
        <f>IFERROR(__xludf.DUMMYFUNCTION("""COMPUTED_VALUE"""),"Für Freelancer: Splunk-Berater (m/w/d)")</f>
        <v>Für Freelancer: Splunk-Berater (m/w/d)</v>
      </c>
      <c r="D1188" s="7" t="str">
        <f>IFERROR(__xludf.DUMMYFUNCTION("""COMPUTED_VALUE"""),"Frankfurt am Main")</f>
        <v>Frankfurt am Main</v>
      </c>
      <c r="E1188" s="7" t="str">
        <f>IFERROR(__xludf.DUMMYFUNCTION("""COMPUTED_VALUE"""),"None")</f>
        <v>None</v>
      </c>
      <c r="F1188" s="7" t="str">
        <f>IFERROR(__xludf.DUMMYFUNCTION("""COMPUTED_VALUE"""),"None")</f>
        <v>None</v>
      </c>
      <c r="G1188" s="7" t="str">
        <f>IFERROR(__xludf.DUMMYFUNCTION("""COMPUTED_VALUE"""),"No salary data")</f>
        <v>No salary data</v>
      </c>
      <c r="H1188" s="7" t="str">
        <f>IFERROR(__xludf.DUMMYFUNCTION("""COMPUTED_VALUE"""),"No salary data")</f>
        <v>No salary data</v>
      </c>
      <c r="I1188" s="7" t="str">
        <f>IFERROR(__xludf.DUMMYFUNCTION("""COMPUTED_VALUE"""),"No salary data")</f>
        <v>No salary data</v>
      </c>
      <c r="J1188" s="7" t="str">
        <f>IFERROR(__xludf.DUMMYFUNCTION("""COMPUTED_VALUE"""),"Tableau")</f>
        <v>Tableau</v>
      </c>
      <c r="K1188" s="7" t="str">
        <f>IFERROR(__xludf.DUMMYFUNCTION("""COMPUTED_VALUE"""),"No job type data")</f>
        <v>No job type data</v>
      </c>
      <c r="L1188" s="7" t="str">
        <f>IFERROR(__xludf.DUMMYFUNCTION("""COMPUTED_VALUE"""),"None")</f>
        <v>None</v>
      </c>
      <c r="M1188" s="7"/>
      <c r="N1188" s="7"/>
      <c r="O1188" s="7"/>
    </row>
    <row r="1189">
      <c r="A1189" s="29">
        <f>IFERROR(__xludf.DUMMYFUNCTION("""COMPUTED_VALUE"""),1185.0)</f>
        <v>1185</v>
      </c>
      <c r="B1189" s="7" t="str">
        <f>IFERROR(__xludf.DUMMYFUNCTION("""COMPUTED_VALUE"""),"Vor mehr als 30 Tagen")</f>
        <v>Vor mehr als 30 Tagen</v>
      </c>
      <c r="C1189" s="7" t="str">
        <f>IFERROR(__xludf.DUMMYFUNCTION("""COMPUTED_VALUE"""),"Für Freelancer: Data Engineering - Big Data")</f>
        <v>Für Freelancer: Data Engineering - Big Data</v>
      </c>
      <c r="D1189" s="7" t="str">
        <f>IFERROR(__xludf.DUMMYFUNCTION("""COMPUTED_VALUE"""),"Stuttgart")</f>
        <v>Stuttgart</v>
      </c>
      <c r="E1189" s="7" t="str">
        <f>IFERROR(__xludf.DUMMYFUNCTION("""COMPUTED_VALUE"""),"None")</f>
        <v>None</v>
      </c>
      <c r="F1189" s="7" t="str">
        <f>IFERROR(__xludf.DUMMYFUNCTION("""COMPUTED_VALUE"""),"None")</f>
        <v>None</v>
      </c>
      <c r="G1189" s="7" t="str">
        <f>IFERROR(__xludf.DUMMYFUNCTION("""COMPUTED_VALUE"""),"No salary data")</f>
        <v>No salary data</v>
      </c>
      <c r="H1189" s="7" t="str">
        <f>IFERROR(__xludf.DUMMYFUNCTION("""COMPUTED_VALUE"""),"No salary data")</f>
        <v>No salary data</v>
      </c>
      <c r="I1189" s="7" t="str">
        <f>IFERROR(__xludf.DUMMYFUNCTION("""COMPUTED_VALUE"""),"No salary data")</f>
        <v>No salary data</v>
      </c>
      <c r="J1189" s="7"/>
      <c r="K1189" s="7" t="str">
        <f>IFERROR(__xludf.DUMMYFUNCTION("""COMPUTED_VALUE"""),"No job type data")</f>
        <v>No job type data</v>
      </c>
      <c r="L1189" s="7" t="str">
        <f>IFERROR(__xludf.DUMMYFUNCTION("""COMPUTED_VALUE"""),"None")</f>
        <v>None</v>
      </c>
      <c r="M1189" s="7"/>
      <c r="N1189" s="7"/>
      <c r="O1189" s="7"/>
    </row>
    <row r="1190">
      <c r="A1190" s="29">
        <f>IFERROR(__xludf.DUMMYFUNCTION("""COMPUTED_VALUE"""),1186.0)</f>
        <v>1186</v>
      </c>
      <c r="B1190" s="7" t="str">
        <f>IFERROR(__xludf.DUMMYFUNCTION("""COMPUTED_VALUE"""),"vor 4 Tagen")</f>
        <v>vor 4 Tagen</v>
      </c>
      <c r="C1190" s="7" t="str">
        <f>IFERROR(__xludf.DUMMYFUNCTION("""COMPUTED_VALUE"""),"Statistical Geneticist - Pharma")</f>
        <v>Statistical Geneticist - Pharma</v>
      </c>
      <c r="D1190" s="7" t="str">
        <f>IFERROR(__xludf.DUMMYFUNCTION("""COMPUTED_VALUE"""),"Deutschland")</f>
        <v>Deutschland</v>
      </c>
      <c r="E1190" s="7" t="str">
        <f>IFERROR(__xludf.DUMMYFUNCTION("""COMPUTED_VALUE"""),"Paramount Recruitment Limited")</f>
        <v>Paramount Recruitment Limited</v>
      </c>
      <c r="F1190" s="7" t="str">
        <f>IFERROR(__xludf.DUMMYFUNCTION("""COMPUTED_VALUE"""),"None")</f>
        <v>None</v>
      </c>
      <c r="G1190" s="7" t="str">
        <f>IFERROR(__xludf.DUMMYFUNCTION("""COMPUTED_VALUE"""),"No salary data")</f>
        <v>No salary data</v>
      </c>
      <c r="H1190" s="7" t="str">
        <f>IFERROR(__xludf.DUMMYFUNCTION("""COMPUTED_VALUE"""),"No salary data")</f>
        <v>No salary data</v>
      </c>
      <c r="I1190" s="7" t="str">
        <f>IFERROR(__xludf.DUMMYFUNCTION("""COMPUTED_VALUE"""),"No salary data")</f>
        <v>No salary data</v>
      </c>
      <c r="J1190" s="7" t="str">
        <f>IFERROR(__xludf.DUMMYFUNCTION("""COMPUTED_VALUE"""),"Python, Statistic, Git")</f>
        <v>Python, Statistic, Git</v>
      </c>
      <c r="K1190" s="7" t="str">
        <f>IFERROR(__xludf.DUMMYFUNCTION("""COMPUTED_VALUE"""),"No job type data")</f>
        <v>No job type data</v>
      </c>
      <c r="L1190" s="7" t="str">
        <f>IFERROR(__xludf.DUMMYFUNCTION("""COMPUTED_VALUE"""),"None")</f>
        <v>None</v>
      </c>
      <c r="M1190" s="7"/>
      <c r="N1190" s="7"/>
      <c r="O1190" s="7"/>
    </row>
    <row r="1191">
      <c r="A1191" s="29">
        <f>IFERROR(__xludf.DUMMYFUNCTION("""COMPUTED_VALUE"""),1187.0)</f>
        <v>1187</v>
      </c>
      <c r="B1191" s="7" t="str">
        <f>IFERROR(__xludf.DUMMYFUNCTION("""COMPUTED_VALUE"""),"Vor mehr als 30 Tagen")</f>
        <v>Vor mehr als 30 Tagen</v>
      </c>
      <c r="C1191" s="7" t="str">
        <f>IFERROR(__xludf.DUMMYFUNCTION("""COMPUTED_VALUE"""),"Data Center Engineer (m/w/d)")</f>
        <v>Data Center Engineer (m/w/d)</v>
      </c>
      <c r="D1191" s="7" t="str">
        <f>IFERROR(__xludf.DUMMYFUNCTION("""COMPUTED_VALUE"""),"Berlin")</f>
        <v>Berlin</v>
      </c>
      <c r="E1191" s="7" t="str">
        <f>IFERROR(__xludf.DUMMYFUNCTION("""COMPUTED_VALUE"""),"wu personal GmbH")</f>
        <v>wu personal GmbH</v>
      </c>
      <c r="F1191" s="7" t="str">
        <f>IFERROR(__xludf.DUMMYFUNCTION("""COMPUTED_VALUE"""),"None")</f>
        <v>None</v>
      </c>
      <c r="G1191" s="7" t="str">
        <f>IFERROR(__xludf.DUMMYFUNCTION("""COMPUTED_VALUE"""),"No salary data")</f>
        <v>No salary data</v>
      </c>
      <c r="H1191" s="7" t="str">
        <f>IFERROR(__xludf.DUMMYFUNCTION("""COMPUTED_VALUE"""),"No salary data")</f>
        <v>No salary data</v>
      </c>
      <c r="I1191" s="7" t="str">
        <f>IFERROR(__xludf.DUMMYFUNCTION("""COMPUTED_VALUE"""),"No salary data")</f>
        <v>No salary data</v>
      </c>
      <c r="J1191" s="7"/>
      <c r="K1191" s="7" t="str">
        <f>IFERROR(__xludf.DUMMYFUNCTION("""COMPUTED_VALUE"""),"No job type data")</f>
        <v>No job type data</v>
      </c>
      <c r="L1191" s="7" t="str">
        <f>IFERROR(__xludf.DUMMYFUNCTION("""COMPUTED_VALUE"""),"3,6")</f>
        <v>3,6</v>
      </c>
      <c r="M1191" s="7"/>
      <c r="N1191" s="7"/>
      <c r="O1191" s="7"/>
    </row>
    <row r="1192">
      <c r="A1192" s="29">
        <f>IFERROR(__xludf.DUMMYFUNCTION("""COMPUTED_VALUE"""),1188.0)</f>
        <v>1188</v>
      </c>
      <c r="B1192" s="7" t="str">
        <f>IFERROR(__xludf.DUMMYFUNCTION("""COMPUTED_VALUE"""),"vor 4 Tagen")</f>
        <v>vor 4 Tagen</v>
      </c>
      <c r="C1192" s="7" t="str">
        <f>IFERROR(__xludf.DUMMYFUNCTION("""COMPUTED_VALUE"""),"Risk Analyst")</f>
        <v>Risk Analyst</v>
      </c>
      <c r="D1192" s="7" t="str">
        <f>IFERROR(__xludf.DUMMYFUNCTION("""COMPUTED_VALUE"""),"Deutschland")</f>
        <v>Deutschland</v>
      </c>
      <c r="E1192" s="7" t="str">
        <f>IFERROR(__xludf.DUMMYFUNCTION("""COMPUTED_VALUE"""),"Haybury")</f>
        <v>Haybury</v>
      </c>
      <c r="F1192" s="7" t="str">
        <f>IFERROR(__xludf.DUMMYFUNCTION("""COMPUTED_VALUE"""),"None")</f>
        <v>None</v>
      </c>
      <c r="G1192" s="7" t="str">
        <f>IFERROR(__xludf.DUMMYFUNCTION("""COMPUTED_VALUE"""),"No salary data")</f>
        <v>No salary data</v>
      </c>
      <c r="H1192" s="7" t="str">
        <f>IFERROR(__xludf.DUMMYFUNCTION("""COMPUTED_VALUE"""),"No salary data")</f>
        <v>No salary data</v>
      </c>
      <c r="I1192" s="7" t="str">
        <f>IFERROR(__xludf.DUMMYFUNCTION("""COMPUTED_VALUE"""),"No salary data")</f>
        <v>No salary data</v>
      </c>
      <c r="J1192" s="7"/>
      <c r="K1192" s="7" t="str">
        <f>IFERROR(__xludf.DUMMYFUNCTION("""COMPUTED_VALUE"""),"Contract")</f>
        <v>Contract</v>
      </c>
      <c r="L1192" s="7" t="str">
        <f>IFERROR(__xludf.DUMMYFUNCTION("""COMPUTED_VALUE"""),"None")</f>
        <v>None</v>
      </c>
      <c r="M1192" s="7"/>
      <c r="N1192" s="7"/>
      <c r="O1192" s="7"/>
    </row>
    <row r="1193">
      <c r="A1193" s="29">
        <f>IFERROR(__xludf.DUMMYFUNCTION("""COMPUTED_VALUE"""),1189.0)</f>
        <v>1189</v>
      </c>
      <c r="B1193" s="7" t="str">
        <f>IFERROR(__xludf.DUMMYFUNCTION("""COMPUTED_VALUE"""),"vor 3 Tagen")</f>
        <v>vor 3 Tagen</v>
      </c>
      <c r="C1193" s="7" t="str">
        <f>IFERROR(__xludf.DUMMYFUNCTION("""COMPUTED_VALUE"""),"Für Freelancer: Junior SAP Data Services Entwickler - Hambur...")</f>
        <v>Für Freelancer: Junior SAP Data Services Entwickler - Hambur...</v>
      </c>
      <c r="D1193" s="7" t="str">
        <f>IFERROR(__xludf.DUMMYFUNCTION("""COMPUTED_VALUE"""),"Hamburg")</f>
        <v>Hamburg</v>
      </c>
      <c r="E1193" s="7" t="str">
        <f>IFERROR(__xludf.DUMMYFUNCTION("""COMPUTED_VALUE"""),"None")</f>
        <v>None</v>
      </c>
      <c r="F1193" s="7" t="str">
        <f>IFERROR(__xludf.DUMMYFUNCTION("""COMPUTED_VALUE"""),"None")</f>
        <v>None</v>
      </c>
      <c r="G1193" s="7" t="str">
        <f>IFERROR(__xludf.DUMMYFUNCTION("""COMPUTED_VALUE"""),"No salary data")</f>
        <v>No salary data</v>
      </c>
      <c r="H1193" s="7" t="str">
        <f>IFERROR(__xludf.DUMMYFUNCTION("""COMPUTED_VALUE"""),"No salary data")</f>
        <v>No salary data</v>
      </c>
      <c r="I1193" s="7" t="str">
        <f>IFERROR(__xludf.DUMMYFUNCTION("""COMPUTED_VALUE"""),"No salary data")</f>
        <v>No salary data</v>
      </c>
      <c r="J1193" s="7" t="str">
        <f>IFERROR(__xludf.DUMMYFUNCTION("""COMPUTED_VALUE"""),"SQL")</f>
        <v>SQL</v>
      </c>
      <c r="K1193" s="7" t="str">
        <f>IFERROR(__xludf.DUMMYFUNCTION("""COMPUTED_VALUE"""),"No job type data")</f>
        <v>No job type data</v>
      </c>
      <c r="L1193" s="7" t="str">
        <f>IFERROR(__xludf.DUMMYFUNCTION("""COMPUTED_VALUE"""),"None")</f>
        <v>None</v>
      </c>
      <c r="M1193" s="7"/>
      <c r="N1193" s="7"/>
      <c r="O1193" s="7"/>
    </row>
    <row r="1194">
      <c r="A1194" s="29">
        <f>IFERROR(__xludf.DUMMYFUNCTION("""COMPUTED_VALUE"""),1190.0)</f>
        <v>1190</v>
      </c>
      <c r="B1194" s="7" t="str">
        <f>IFERROR(__xludf.DUMMYFUNCTION("""COMPUTED_VALUE"""),"vor 19 Tagen")</f>
        <v>vor 19 Tagen</v>
      </c>
      <c r="C1194" s="7" t="str">
        <f>IFERROR(__xludf.DUMMYFUNCTION("""COMPUTED_VALUE"""),"Meta Analysis - Research Consultant")</f>
        <v>Meta Analysis - Research Consultant</v>
      </c>
      <c r="D1194" s="7" t="str">
        <f>IFERROR(__xludf.DUMMYFUNCTION("""COMPUTED_VALUE"""),"Deutschland")</f>
        <v>Deutschland</v>
      </c>
      <c r="E1194" s="7" t="str">
        <f>IFERROR(__xludf.DUMMYFUNCTION("""COMPUTED_VALUE"""),"Barrington James")</f>
        <v>Barrington James</v>
      </c>
      <c r="F1194" s="7" t="str">
        <f>IFERROR(__xludf.DUMMYFUNCTION("""COMPUTED_VALUE"""),"None")</f>
        <v>None</v>
      </c>
      <c r="G1194" s="7" t="str">
        <f>IFERROR(__xludf.DUMMYFUNCTION("""COMPUTED_VALUE"""),"No salary data")</f>
        <v>No salary data</v>
      </c>
      <c r="H1194" s="7" t="str">
        <f>IFERROR(__xludf.DUMMYFUNCTION("""COMPUTED_VALUE"""),"No salary data")</f>
        <v>No salary data</v>
      </c>
      <c r="I1194" s="7" t="str">
        <f>IFERROR(__xludf.DUMMYFUNCTION("""COMPUTED_VALUE"""),"No salary data")</f>
        <v>No salary data</v>
      </c>
      <c r="J1194" s="7" t="str">
        <f>IFERROR(__xludf.DUMMYFUNCTION("""COMPUTED_VALUE"""),"Statistic")</f>
        <v>Statistic</v>
      </c>
      <c r="K1194" s="7" t="str">
        <f>IFERROR(__xludf.DUMMYFUNCTION("""COMPUTED_VALUE"""),"No job type data")</f>
        <v>No job type data</v>
      </c>
      <c r="L1194" s="7" t="str">
        <f>IFERROR(__xludf.DUMMYFUNCTION("""COMPUTED_VALUE"""),"None")</f>
        <v>None</v>
      </c>
      <c r="M1194" s="7"/>
      <c r="N1194" s="7"/>
      <c r="O1194" s="7"/>
    </row>
    <row r="1195">
      <c r="A1195" s="29">
        <f>IFERROR(__xludf.DUMMYFUNCTION("""COMPUTED_VALUE"""),1191.0)</f>
        <v>1191</v>
      </c>
      <c r="B1195" s="7" t="str">
        <f>IFERROR(__xludf.DUMMYFUNCTION("""COMPUTED_VALUE"""),"vor 8 Tagen")</f>
        <v>vor 8 Tagen</v>
      </c>
      <c r="C1195" s="7" t="str">
        <f>IFERROR(__xludf.DUMMYFUNCTION("""COMPUTED_VALUE"""),"Bioinformatician")</f>
        <v>Bioinformatician</v>
      </c>
      <c r="D1195" s="7" t="str">
        <f>IFERROR(__xludf.DUMMYFUNCTION("""COMPUTED_VALUE"""),"Deutschland")</f>
        <v>Deutschland</v>
      </c>
      <c r="E1195" s="7" t="str">
        <f>IFERROR(__xludf.DUMMYFUNCTION("""COMPUTED_VALUE"""),"Umbilical Life")</f>
        <v>Umbilical Life</v>
      </c>
      <c r="F1195" s="7" t="str">
        <f>IFERROR(__xludf.DUMMYFUNCTION("""COMPUTED_VALUE"""),"None")</f>
        <v>None</v>
      </c>
      <c r="G1195" s="7" t="str">
        <f>IFERROR(__xludf.DUMMYFUNCTION("""COMPUTED_VALUE"""),"No salary data")</f>
        <v>No salary data</v>
      </c>
      <c r="H1195" s="7" t="str">
        <f>IFERROR(__xludf.DUMMYFUNCTION("""COMPUTED_VALUE"""),"No salary data")</f>
        <v>No salary data</v>
      </c>
      <c r="I1195" s="7" t="str">
        <f>IFERROR(__xludf.DUMMYFUNCTION("""COMPUTED_VALUE"""),"No salary data")</f>
        <v>No salary data</v>
      </c>
      <c r="J1195" s="7"/>
      <c r="K1195" s="7" t="str">
        <f>IFERROR(__xludf.DUMMYFUNCTION("""COMPUTED_VALUE"""),"No job type data")</f>
        <v>No job type data</v>
      </c>
      <c r="L1195" s="7" t="str">
        <f>IFERROR(__xludf.DUMMYFUNCTION("""COMPUTED_VALUE"""),"None")</f>
        <v>None</v>
      </c>
      <c r="M1195" s="7"/>
      <c r="N1195" s="7"/>
      <c r="O1195" s="7"/>
    </row>
    <row r="1196">
      <c r="A1196" s="29">
        <f>IFERROR(__xludf.DUMMYFUNCTION("""COMPUTED_VALUE"""),1192.0)</f>
        <v>1192</v>
      </c>
      <c r="B1196" s="7" t="str">
        <f>IFERROR(__xludf.DUMMYFUNCTION("""COMPUTED_VALUE"""),"Vor mehr als 30 Tagen")</f>
        <v>Vor mehr als 30 Tagen</v>
      </c>
      <c r="C1196" s="7" t="str">
        <f>IFERROR(__xludf.DUMMYFUNCTION("""COMPUTED_VALUE"""),"Für Freelancer: SAP Data Migration Consultant / SAP-Datenmig...")</f>
        <v>Für Freelancer: SAP Data Migration Consultant / SAP-Datenmig...</v>
      </c>
      <c r="D1196" s="7" t="str">
        <f>IFERROR(__xludf.DUMMYFUNCTION("""COMPUTED_VALUE"""),"Hannover")</f>
        <v>Hannover</v>
      </c>
      <c r="E1196" s="7" t="str">
        <f>IFERROR(__xludf.DUMMYFUNCTION("""COMPUTED_VALUE"""),"None")</f>
        <v>None</v>
      </c>
      <c r="F1196" s="7" t="str">
        <f>IFERROR(__xludf.DUMMYFUNCTION("""COMPUTED_VALUE"""),"None")</f>
        <v>None</v>
      </c>
      <c r="G1196" s="7" t="str">
        <f>IFERROR(__xludf.DUMMYFUNCTION("""COMPUTED_VALUE"""),"No salary data")</f>
        <v>No salary data</v>
      </c>
      <c r="H1196" s="7" t="str">
        <f>IFERROR(__xludf.DUMMYFUNCTION("""COMPUTED_VALUE"""),"No salary data")</f>
        <v>No salary data</v>
      </c>
      <c r="I1196" s="7" t="str">
        <f>IFERROR(__xludf.DUMMYFUNCTION("""COMPUTED_VALUE"""),"No salary data")</f>
        <v>No salary data</v>
      </c>
      <c r="J1196" s="7"/>
      <c r="K1196" s="7" t="str">
        <f>IFERROR(__xludf.DUMMYFUNCTION("""COMPUTED_VALUE"""),"No job type data")</f>
        <v>No job type data</v>
      </c>
      <c r="L1196" s="7" t="str">
        <f>IFERROR(__xludf.DUMMYFUNCTION("""COMPUTED_VALUE"""),"None")</f>
        <v>None</v>
      </c>
      <c r="M1196" s="7"/>
      <c r="N1196" s="7"/>
      <c r="O1196" s="7"/>
    </row>
    <row r="1197">
      <c r="A1197" s="29">
        <f>IFERROR(__xludf.DUMMYFUNCTION("""COMPUTED_VALUE"""),1193.0)</f>
        <v>1193</v>
      </c>
      <c r="B1197" s="7" t="str">
        <f>IFERROR(__xludf.DUMMYFUNCTION("""COMPUTED_VALUE"""),"Vor mehr als 30 Tagen")</f>
        <v>Vor mehr als 30 Tagen</v>
      </c>
      <c r="C1197" s="7" t="str">
        <f>IFERROR(__xludf.DUMMYFUNCTION("""COMPUTED_VALUE"""),"Für Freelancer: Data Management")</f>
        <v>Für Freelancer: Data Management</v>
      </c>
      <c r="D1197" s="7" t="str">
        <f>IFERROR(__xludf.DUMMYFUNCTION("""COMPUTED_VALUE"""),"Elberfeld")</f>
        <v>Elberfeld</v>
      </c>
      <c r="E1197" s="7" t="str">
        <f>IFERROR(__xludf.DUMMYFUNCTION("""COMPUTED_VALUE"""),"None")</f>
        <v>None</v>
      </c>
      <c r="F1197" s="7" t="str">
        <f>IFERROR(__xludf.DUMMYFUNCTION("""COMPUTED_VALUE"""),"None")</f>
        <v>None</v>
      </c>
      <c r="G1197" s="7" t="str">
        <f>IFERROR(__xludf.DUMMYFUNCTION("""COMPUTED_VALUE"""),"No salary data")</f>
        <v>No salary data</v>
      </c>
      <c r="H1197" s="7" t="str">
        <f>IFERROR(__xludf.DUMMYFUNCTION("""COMPUTED_VALUE"""),"No salary data")</f>
        <v>No salary data</v>
      </c>
      <c r="I1197" s="7" t="str">
        <f>IFERROR(__xludf.DUMMYFUNCTION("""COMPUTED_VALUE"""),"No salary data")</f>
        <v>No salary data</v>
      </c>
      <c r="J1197" s="7" t="str">
        <f>IFERROR(__xludf.DUMMYFUNCTION("""COMPUTED_VALUE"""),"Excel")</f>
        <v>Excel</v>
      </c>
      <c r="K1197" s="7" t="str">
        <f>IFERROR(__xludf.DUMMYFUNCTION("""COMPUTED_VALUE"""),"No job type data")</f>
        <v>No job type data</v>
      </c>
      <c r="L1197" s="7" t="str">
        <f>IFERROR(__xludf.DUMMYFUNCTION("""COMPUTED_VALUE"""),"None")</f>
        <v>None</v>
      </c>
      <c r="M1197" s="7"/>
      <c r="N1197" s="7"/>
      <c r="O1197" s="7"/>
    </row>
    <row r="1198">
      <c r="A1198" s="29">
        <f>IFERROR(__xludf.DUMMYFUNCTION("""COMPUTED_VALUE"""),1194.0)</f>
        <v>1194</v>
      </c>
      <c r="B1198" s="7" t="str">
        <f>IFERROR(__xludf.DUMMYFUNCTION("""COMPUTED_VALUE"""),"vor 14 Tagen")</f>
        <v>vor 14 Tagen</v>
      </c>
      <c r="C1198" s="7" t="str">
        <f>IFERROR(__xludf.DUMMYFUNCTION("""COMPUTED_VALUE"""),"Für Freelancer: Freiberuflicher BI-Entwickler (m/w/d) in Mün...")</f>
        <v>Für Freelancer: Freiberuflicher BI-Entwickler (m/w/d) in Mün...</v>
      </c>
      <c r="D1198" s="7" t="str">
        <f>IFERROR(__xludf.DUMMYFUNCTION("""COMPUTED_VALUE"""),"München")</f>
        <v>München</v>
      </c>
      <c r="E1198" s="7" t="str">
        <f>IFERROR(__xludf.DUMMYFUNCTION("""COMPUTED_VALUE"""),"None")</f>
        <v>None</v>
      </c>
      <c r="F1198" s="7" t="str">
        <f>IFERROR(__xludf.DUMMYFUNCTION("""COMPUTED_VALUE"""),"None")</f>
        <v>None</v>
      </c>
      <c r="G1198" s="7" t="str">
        <f>IFERROR(__xludf.DUMMYFUNCTION("""COMPUTED_VALUE"""),"No salary data")</f>
        <v>No salary data</v>
      </c>
      <c r="H1198" s="7" t="str">
        <f>IFERROR(__xludf.DUMMYFUNCTION("""COMPUTED_VALUE"""),"No salary data")</f>
        <v>No salary data</v>
      </c>
      <c r="I1198" s="7" t="str">
        <f>IFERROR(__xludf.DUMMYFUNCTION("""COMPUTED_VALUE"""),"No salary data")</f>
        <v>No salary data</v>
      </c>
      <c r="J1198" s="7" t="str">
        <f>IFERROR(__xludf.DUMMYFUNCTION("""COMPUTED_VALUE"""),"Tableau")</f>
        <v>Tableau</v>
      </c>
      <c r="K1198" s="7" t="str">
        <f>IFERROR(__xludf.DUMMYFUNCTION("""COMPUTED_VALUE"""),"No job type data")</f>
        <v>No job type data</v>
      </c>
      <c r="L1198" s="7" t="str">
        <f>IFERROR(__xludf.DUMMYFUNCTION("""COMPUTED_VALUE"""),"None")</f>
        <v>None</v>
      </c>
      <c r="M1198" s="7"/>
      <c r="N1198" s="7"/>
      <c r="O1198" s="7"/>
    </row>
    <row r="1199">
      <c r="A1199" s="29">
        <f>IFERROR(__xludf.DUMMYFUNCTION("""COMPUTED_VALUE"""),1195.0)</f>
        <v>1195</v>
      </c>
      <c r="B1199" s="7" t="str">
        <f>IFERROR(__xludf.DUMMYFUNCTION("""COMPUTED_VALUE"""),"vor 17 Tagen")</f>
        <v>vor 17 Tagen</v>
      </c>
      <c r="C1199" s="7" t="str">
        <f>IFERROR(__xludf.DUMMYFUNCTION("""COMPUTED_VALUE"""),"Für Freelancer: BI Developer")</f>
        <v>Für Freelancer: BI Developer</v>
      </c>
      <c r="D1199" s="7" t="str">
        <f>IFERROR(__xludf.DUMMYFUNCTION("""COMPUTED_VALUE"""),"Hamburg")</f>
        <v>Hamburg</v>
      </c>
      <c r="E1199" s="7" t="str">
        <f>IFERROR(__xludf.DUMMYFUNCTION("""COMPUTED_VALUE"""),"None")</f>
        <v>None</v>
      </c>
      <c r="F1199" s="7" t="str">
        <f>IFERROR(__xludf.DUMMYFUNCTION("""COMPUTED_VALUE"""),"None")</f>
        <v>None</v>
      </c>
      <c r="G1199" s="7" t="str">
        <f>IFERROR(__xludf.DUMMYFUNCTION("""COMPUTED_VALUE"""),"No salary data")</f>
        <v>No salary data</v>
      </c>
      <c r="H1199" s="7" t="str">
        <f>IFERROR(__xludf.DUMMYFUNCTION("""COMPUTED_VALUE"""),"No salary data")</f>
        <v>No salary data</v>
      </c>
      <c r="I1199" s="7" t="str">
        <f>IFERROR(__xludf.DUMMYFUNCTION("""COMPUTED_VALUE"""),"No salary data")</f>
        <v>No salary data</v>
      </c>
      <c r="J1199" s="7" t="str">
        <f>IFERROR(__xludf.DUMMYFUNCTION("""COMPUTED_VALUE"""),"Python")</f>
        <v>Python</v>
      </c>
      <c r="K1199" s="7" t="str">
        <f>IFERROR(__xludf.DUMMYFUNCTION("""COMPUTED_VALUE"""),"No job type data")</f>
        <v>No job type data</v>
      </c>
      <c r="L1199" s="7" t="str">
        <f>IFERROR(__xludf.DUMMYFUNCTION("""COMPUTED_VALUE"""),"None")</f>
        <v>None</v>
      </c>
      <c r="M1199" s="7"/>
      <c r="N1199" s="7"/>
      <c r="O1199" s="7"/>
    </row>
    <row r="1200">
      <c r="A1200" s="29">
        <f>IFERROR(__xludf.DUMMYFUNCTION("""COMPUTED_VALUE"""),1196.0)</f>
        <v>1196</v>
      </c>
      <c r="B1200" s="7" t="str">
        <f>IFERROR(__xludf.DUMMYFUNCTION("""COMPUTED_VALUE"""),"vor 19 Tagen")</f>
        <v>vor 19 Tagen</v>
      </c>
      <c r="C1200" s="7" t="str">
        <f>IFERROR(__xludf.DUMMYFUNCTION("""COMPUTED_VALUE"""),"Für Freelancer: IBM DataStage Specialist - 100% Remote work...")</f>
        <v>Für Freelancer: IBM DataStage Specialist - 100% Remote work...</v>
      </c>
      <c r="D1200" s="7" t="str">
        <f>IFERROR(__xludf.DUMMYFUNCTION("""COMPUTED_VALUE"""),"Frankfurt am Main")</f>
        <v>Frankfurt am Main</v>
      </c>
      <c r="E1200" s="7" t="str">
        <f>IFERROR(__xludf.DUMMYFUNCTION("""COMPUTED_VALUE"""),"None")</f>
        <v>None</v>
      </c>
      <c r="F1200" s="7" t="str">
        <f>IFERROR(__xludf.DUMMYFUNCTION("""COMPUTED_VALUE"""),"None")</f>
        <v>None</v>
      </c>
      <c r="G1200" s="7" t="str">
        <f>IFERROR(__xludf.DUMMYFUNCTION("""COMPUTED_VALUE"""),"No salary data")</f>
        <v>No salary data</v>
      </c>
      <c r="H1200" s="7" t="str">
        <f>IFERROR(__xludf.DUMMYFUNCTION("""COMPUTED_VALUE"""),"No salary data")</f>
        <v>No salary data</v>
      </c>
      <c r="I1200" s="7" t="str">
        <f>IFERROR(__xludf.DUMMYFUNCTION("""COMPUTED_VALUE"""),"No salary data")</f>
        <v>No salary data</v>
      </c>
      <c r="J1200" s="7"/>
      <c r="K1200" s="7" t="str">
        <f>IFERROR(__xludf.DUMMYFUNCTION("""COMPUTED_VALUE"""),"No job type data")</f>
        <v>No job type data</v>
      </c>
      <c r="L1200" s="7" t="str">
        <f>IFERROR(__xludf.DUMMYFUNCTION("""COMPUTED_VALUE"""),"None")</f>
        <v>None</v>
      </c>
      <c r="M1200" s="7"/>
      <c r="N1200" s="7"/>
      <c r="O1200" s="7"/>
    </row>
    <row r="1201">
      <c r="A1201" s="29">
        <f>IFERROR(__xludf.DUMMYFUNCTION("""COMPUTED_VALUE"""),1197.0)</f>
        <v>1197</v>
      </c>
      <c r="B1201" s="7" t="str">
        <f>IFERROR(__xludf.DUMMYFUNCTION("""COMPUTED_VALUE"""),"vor 26 Tagen")</f>
        <v>vor 26 Tagen</v>
      </c>
      <c r="C1201" s="7" t="str">
        <f>IFERROR(__xludf.DUMMYFUNCTION("""COMPUTED_VALUE"""),"Data Warehouse Developer (m/w/d)")</f>
        <v>Data Warehouse Developer (m/w/d)</v>
      </c>
      <c r="D1201" s="7" t="str">
        <f>IFERROR(__xludf.DUMMYFUNCTION("""COMPUTED_VALUE"""),"Ennepetal")</f>
        <v>Ennepetal</v>
      </c>
      <c r="E1201" s="7" t="str">
        <f>IFERROR(__xludf.DUMMYFUNCTION("""COMPUTED_VALUE"""),"PAKi Logistics GmbH")</f>
        <v>PAKi Logistics GmbH</v>
      </c>
      <c r="F1201" s="7" t="str">
        <f>IFERROR(__xludf.DUMMYFUNCTION("""COMPUTED_VALUE"""),"None")</f>
        <v>None</v>
      </c>
      <c r="G1201" s="7" t="str">
        <f>IFERROR(__xludf.DUMMYFUNCTION("""COMPUTED_VALUE"""),"No salary data")</f>
        <v>No salary data</v>
      </c>
      <c r="H1201" s="7" t="str">
        <f>IFERROR(__xludf.DUMMYFUNCTION("""COMPUTED_VALUE"""),"No salary data")</f>
        <v>No salary data</v>
      </c>
      <c r="I1201" s="7" t="str">
        <f>IFERROR(__xludf.DUMMYFUNCTION("""COMPUTED_VALUE"""),"No salary data")</f>
        <v>No salary data</v>
      </c>
      <c r="J1201" s="7" t="str">
        <f>IFERROR(__xludf.DUMMYFUNCTION("""COMPUTED_VALUE"""),"SQL, Git")</f>
        <v>SQL, Git</v>
      </c>
      <c r="K1201" s="7" t="str">
        <f>IFERROR(__xludf.DUMMYFUNCTION("""COMPUTED_VALUE"""),"No job type data")</f>
        <v>No job type data</v>
      </c>
      <c r="L1201" s="7" t="str">
        <f>IFERROR(__xludf.DUMMYFUNCTION("""COMPUTED_VALUE"""),"None")</f>
        <v>None</v>
      </c>
      <c r="M1201" s="7"/>
      <c r="N1201" s="7"/>
      <c r="O1201" s="7"/>
    </row>
    <row r="1202">
      <c r="A1202" s="29">
        <f>IFERROR(__xludf.DUMMYFUNCTION("""COMPUTED_VALUE"""),1198.0)</f>
        <v>1198</v>
      </c>
      <c r="B1202" s="7" t="str">
        <f>IFERROR(__xludf.DUMMYFUNCTION("""COMPUTED_VALUE"""),"Vor mehr als 30 Tagen")</f>
        <v>Vor mehr als 30 Tagen</v>
      </c>
      <c r="C1202" s="7" t="str">
        <f>IFERROR(__xludf.DUMMYFUNCTION("""COMPUTED_VALUE"""),"Für Freelancer: München und remote: ODI Oracle Data Integrat...")</f>
        <v>Für Freelancer: München und remote: ODI Oracle Data Integrat...</v>
      </c>
      <c r="D1202" s="7" t="str">
        <f>IFERROR(__xludf.DUMMYFUNCTION("""COMPUTED_VALUE"""),"München")</f>
        <v>München</v>
      </c>
      <c r="E1202" s="7" t="str">
        <f>IFERROR(__xludf.DUMMYFUNCTION("""COMPUTED_VALUE"""),"None")</f>
        <v>None</v>
      </c>
      <c r="F1202" s="7" t="str">
        <f>IFERROR(__xludf.DUMMYFUNCTION("""COMPUTED_VALUE"""),"None")</f>
        <v>None</v>
      </c>
      <c r="G1202" s="7" t="str">
        <f>IFERROR(__xludf.DUMMYFUNCTION("""COMPUTED_VALUE"""),"No salary data")</f>
        <v>No salary data</v>
      </c>
      <c r="H1202" s="7" t="str">
        <f>IFERROR(__xludf.DUMMYFUNCTION("""COMPUTED_VALUE"""),"No salary data")</f>
        <v>No salary data</v>
      </c>
      <c r="I1202" s="7" t="str">
        <f>IFERROR(__xludf.DUMMYFUNCTION("""COMPUTED_VALUE"""),"No salary data")</f>
        <v>No salary data</v>
      </c>
      <c r="J1202" s="7" t="str">
        <f>IFERROR(__xludf.DUMMYFUNCTION("""COMPUTED_VALUE"""),"Agile")</f>
        <v>Agile</v>
      </c>
      <c r="K1202" s="7" t="str">
        <f>IFERROR(__xludf.DUMMYFUNCTION("""COMPUTED_VALUE"""),"No job type data")</f>
        <v>No job type data</v>
      </c>
      <c r="L1202" s="7" t="str">
        <f>IFERROR(__xludf.DUMMYFUNCTION("""COMPUTED_VALUE"""),"None")</f>
        <v>None</v>
      </c>
      <c r="M1202" s="7"/>
      <c r="N1202" s="7"/>
      <c r="O1202" s="7"/>
    </row>
    <row r="1203">
      <c r="A1203" s="29">
        <f>IFERROR(__xludf.DUMMYFUNCTION("""COMPUTED_VALUE"""),1199.0)</f>
        <v>1199</v>
      </c>
      <c r="B1203" s="7" t="str">
        <f>IFERROR(__xludf.DUMMYFUNCTION("""COMPUTED_VALUE"""),"Vor mehr als 30 Tagen")</f>
        <v>Vor mehr als 30 Tagen</v>
      </c>
      <c r="C1203" s="7" t="str">
        <f>IFERROR(__xludf.DUMMYFUNCTION("""COMPUTED_VALUE"""),"Für Freelancer: Teamlead Data Center &amp; Cloud Operations (Iaa...")</f>
        <v>Für Freelancer: Teamlead Data Center &amp; Cloud Operations (Iaa...</v>
      </c>
      <c r="D1203" s="7" t="str">
        <f>IFERROR(__xludf.DUMMYFUNCTION("""COMPUTED_VALUE"""),"Berlin")</f>
        <v>Berlin</v>
      </c>
      <c r="E1203" s="7" t="str">
        <f>IFERROR(__xludf.DUMMYFUNCTION("""COMPUTED_VALUE"""),"None")</f>
        <v>None</v>
      </c>
      <c r="F1203" s="7" t="str">
        <f>IFERROR(__xludf.DUMMYFUNCTION("""COMPUTED_VALUE"""),"None")</f>
        <v>None</v>
      </c>
      <c r="G1203" s="7" t="str">
        <f>IFERROR(__xludf.DUMMYFUNCTION("""COMPUTED_VALUE"""),"No salary data")</f>
        <v>No salary data</v>
      </c>
      <c r="H1203" s="7" t="str">
        <f>IFERROR(__xludf.DUMMYFUNCTION("""COMPUTED_VALUE"""),"No salary data")</f>
        <v>No salary data</v>
      </c>
      <c r="I1203" s="7" t="str">
        <f>IFERROR(__xludf.DUMMYFUNCTION("""COMPUTED_VALUE"""),"No salary data")</f>
        <v>No salary data</v>
      </c>
      <c r="J1203" s="7" t="str">
        <f>IFERROR(__xludf.DUMMYFUNCTION("""COMPUTED_VALUE"""),"Linux, Agile")</f>
        <v>Linux, Agile</v>
      </c>
      <c r="K1203" s="7" t="str">
        <f>IFERROR(__xludf.DUMMYFUNCTION("""COMPUTED_VALUE"""),"No job type data")</f>
        <v>No job type data</v>
      </c>
      <c r="L1203" s="7" t="str">
        <f>IFERROR(__xludf.DUMMYFUNCTION("""COMPUTED_VALUE"""),"None")</f>
        <v>None</v>
      </c>
      <c r="M1203" s="7"/>
      <c r="N1203" s="7"/>
      <c r="O1203" s="7"/>
    </row>
    <row r="1204">
      <c r="A1204" s="29">
        <f>IFERROR(__xludf.DUMMYFUNCTION("""COMPUTED_VALUE"""),1200.0)</f>
        <v>1200</v>
      </c>
      <c r="B1204" s="7" t="str">
        <f>IFERROR(__xludf.DUMMYFUNCTION("""COMPUTED_VALUE"""),"vor 12 Tagen")</f>
        <v>vor 12 Tagen</v>
      </c>
      <c r="C1204" s="7" t="str">
        <f>IFERROR(__xludf.DUMMYFUNCTION("""COMPUTED_VALUE"""),"Für Freelancer: Drupal-Spezialisten (m/w/d)")</f>
        <v>Für Freelancer: Drupal-Spezialisten (m/w/d)</v>
      </c>
      <c r="D1204" s="7" t="str">
        <f>IFERROR(__xludf.DUMMYFUNCTION("""COMPUTED_VALUE"""),"Berlin")</f>
        <v>Berlin</v>
      </c>
      <c r="E1204" s="7" t="str">
        <f>IFERROR(__xludf.DUMMYFUNCTION("""COMPUTED_VALUE"""),"None")</f>
        <v>None</v>
      </c>
      <c r="F1204" s="7" t="str">
        <f>IFERROR(__xludf.DUMMYFUNCTION("""COMPUTED_VALUE"""),"None")</f>
        <v>None</v>
      </c>
      <c r="G1204" s="7" t="str">
        <f>IFERROR(__xludf.DUMMYFUNCTION("""COMPUTED_VALUE"""),"No salary data")</f>
        <v>No salary data</v>
      </c>
      <c r="H1204" s="7" t="str">
        <f>IFERROR(__xludf.DUMMYFUNCTION("""COMPUTED_VALUE"""),"No salary data")</f>
        <v>No salary data</v>
      </c>
      <c r="I1204" s="7" t="str">
        <f>IFERROR(__xludf.DUMMYFUNCTION("""COMPUTED_VALUE"""),"No salary data")</f>
        <v>No salary data</v>
      </c>
      <c r="J1204" s="7" t="str">
        <f>IFERROR(__xludf.DUMMYFUNCTION("""COMPUTED_VALUE"""),"Excel, Agile, Scrum")</f>
        <v>Excel, Agile, Scrum</v>
      </c>
      <c r="K1204" s="7" t="str">
        <f>IFERROR(__xludf.DUMMYFUNCTION("""COMPUTED_VALUE"""),"No job type data")</f>
        <v>No job type data</v>
      </c>
      <c r="L1204" s="7" t="str">
        <f>IFERROR(__xludf.DUMMYFUNCTION("""COMPUTED_VALUE"""),"None")</f>
        <v>None</v>
      </c>
      <c r="M1204" s="7"/>
      <c r="N1204" s="7"/>
      <c r="O1204" s="7"/>
    </row>
    <row r="1205">
      <c r="A1205" s="29">
        <f>IFERROR(__xludf.DUMMYFUNCTION("""COMPUTED_VALUE"""),1201.0)</f>
        <v>1201</v>
      </c>
      <c r="B1205" s="7" t="str">
        <f>IFERROR(__xludf.DUMMYFUNCTION("""COMPUTED_VALUE"""),"vor 4 Tagen")</f>
        <v>vor 4 Tagen</v>
      </c>
      <c r="C1205" s="7" t="str">
        <f>IFERROR(__xludf.DUMMYFUNCTION("""COMPUTED_VALUE"""),"Für Freelancer: Business Analyst (m/w/d)")</f>
        <v>Für Freelancer: Business Analyst (m/w/d)</v>
      </c>
      <c r="D1205" s="7" t="str">
        <f>IFERROR(__xludf.DUMMYFUNCTION("""COMPUTED_VALUE"""),"Ludwigsburg")</f>
        <v>Ludwigsburg</v>
      </c>
      <c r="E1205" s="7" t="str">
        <f>IFERROR(__xludf.DUMMYFUNCTION("""COMPUTED_VALUE"""),"None")</f>
        <v>None</v>
      </c>
      <c r="F1205" s="7" t="str">
        <f>IFERROR(__xludf.DUMMYFUNCTION("""COMPUTED_VALUE"""),"None")</f>
        <v>None</v>
      </c>
      <c r="G1205" s="7" t="str">
        <f>IFERROR(__xludf.DUMMYFUNCTION("""COMPUTED_VALUE"""),"No salary data")</f>
        <v>No salary data</v>
      </c>
      <c r="H1205" s="7" t="str">
        <f>IFERROR(__xludf.DUMMYFUNCTION("""COMPUTED_VALUE"""),"No salary data")</f>
        <v>No salary data</v>
      </c>
      <c r="I1205" s="7" t="str">
        <f>IFERROR(__xludf.DUMMYFUNCTION("""COMPUTED_VALUE"""),"No salary data")</f>
        <v>No salary data</v>
      </c>
      <c r="J1205" s="7"/>
      <c r="K1205" s="7" t="str">
        <f>IFERROR(__xludf.DUMMYFUNCTION("""COMPUTED_VALUE"""),"No job type data")</f>
        <v>No job type data</v>
      </c>
      <c r="L1205" s="7" t="str">
        <f>IFERROR(__xludf.DUMMYFUNCTION("""COMPUTED_VALUE"""),"None")</f>
        <v>None</v>
      </c>
      <c r="M1205" s="7"/>
      <c r="N1205" s="7"/>
      <c r="O1205" s="7"/>
    </row>
    <row r="1206">
      <c r="A1206" s="29">
        <f>IFERROR(__xludf.DUMMYFUNCTION("""COMPUTED_VALUE"""),1202.0)</f>
        <v>1202</v>
      </c>
      <c r="B1206" s="7" t="str">
        <f>IFERROR(__xludf.DUMMYFUNCTION("""COMPUTED_VALUE"""),"vor 28 Tagen")</f>
        <v>vor 28 Tagen</v>
      </c>
      <c r="C1206" s="7" t="str">
        <f>IFERROR(__xludf.DUMMYFUNCTION("""COMPUTED_VALUE"""),"Für Freelancer: CRM Analyst gesucht")</f>
        <v>Für Freelancer: CRM Analyst gesucht</v>
      </c>
      <c r="D1206" s="7" t="str">
        <f>IFERROR(__xludf.DUMMYFUNCTION("""COMPUTED_VALUE"""),"Köln")</f>
        <v>Köln</v>
      </c>
      <c r="E1206" s="7" t="str">
        <f>IFERROR(__xludf.DUMMYFUNCTION("""COMPUTED_VALUE"""),"None")</f>
        <v>None</v>
      </c>
      <c r="F1206" s="7" t="str">
        <f>IFERROR(__xludf.DUMMYFUNCTION("""COMPUTED_VALUE"""),"None")</f>
        <v>None</v>
      </c>
      <c r="G1206" s="7" t="str">
        <f>IFERROR(__xludf.DUMMYFUNCTION("""COMPUTED_VALUE"""),"No salary data")</f>
        <v>No salary data</v>
      </c>
      <c r="H1206" s="7" t="str">
        <f>IFERROR(__xludf.DUMMYFUNCTION("""COMPUTED_VALUE"""),"No salary data")</f>
        <v>No salary data</v>
      </c>
      <c r="I1206" s="7" t="str">
        <f>IFERROR(__xludf.DUMMYFUNCTION("""COMPUTED_VALUE"""),"No salary data")</f>
        <v>No salary data</v>
      </c>
      <c r="J1206" s="7" t="str">
        <f>IFERROR(__xludf.DUMMYFUNCTION("""COMPUTED_VALUE"""),"SQL")</f>
        <v>SQL</v>
      </c>
      <c r="K1206" s="7" t="str">
        <f>IFERROR(__xludf.DUMMYFUNCTION("""COMPUTED_VALUE"""),"No job type data")</f>
        <v>No job type data</v>
      </c>
      <c r="L1206" s="7" t="str">
        <f>IFERROR(__xludf.DUMMYFUNCTION("""COMPUTED_VALUE"""),"None")</f>
        <v>None</v>
      </c>
      <c r="M1206" s="7"/>
      <c r="N1206" s="7"/>
      <c r="O1206" s="7"/>
    </row>
    <row r="1207">
      <c r="A1207" s="29">
        <f>IFERROR(__xludf.DUMMYFUNCTION("""COMPUTED_VALUE"""),1203.0)</f>
        <v>1203</v>
      </c>
      <c r="B1207" s="7" t="str">
        <f>IFERROR(__xludf.DUMMYFUNCTION("""COMPUTED_VALUE"""),"vor 10 Tagen")</f>
        <v>vor 10 Tagen</v>
      </c>
      <c r="C1207" s="7" t="str">
        <f>IFERROR(__xludf.DUMMYFUNCTION("""COMPUTED_VALUE"""),"Für Freelancer: SIEM Engineer/Specialist")</f>
        <v>Für Freelancer: SIEM Engineer/Specialist</v>
      </c>
      <c r="D1207" s="7" t="str">
        <f>IFERROR(__xludf.DUMMYFUNCTION("""COMPUTED_VALUE"""),"Berlin")</f>
        <v>Berlin</v>
      </c>
      <c r="E1207" s="7" t="str">
        <f>IFERROR(__xludf.DUMMYFUNCTION("""COMPUTED_VALUE"""),"None")</f>
        <v>None</v>
      </c>
      <c r="F1207" s="7" t="str">
        <f>IFERROR(__xludf.DUMMYFUNCTION("""COMPUTED_VALUE"""),"None")</f>
        <v>None</v>
      </c>
      <c r="G1207" s="7" t="str">
        <f>IFERROR(__xludf.DUMMYFUNCTION("""COMPUTED_VALUE"""),"No salary data")</f>
        <v>No salary data</v>
      </c>
      <c r="H1207" s="7" t="str">
        <f>IFERROR(__xludf.DUMMYFUNCTION("""COMPUTED_VALUE"""),"No salary data")</f>
        <v>No salary data</v>
      </c>
      <c r="I1207" s="7" t="str">
        <f>IFERROR(__xludf.DUMMYFUNCTION("""COMPUTED_VALUE"""),"No salary data")</f>
        <v>No salary data</v>
      </c>
      <c r="J1207" s="7" t="str">
        <f>IFERROR(__xludf.DUMMYFUNCTION("""COMPUTED_VALUE"""),"Python, Linux")</f>
        <v>Python, Linux</v>
      </c>
      <c r="K1207" s="7" t="str">
        <f>IFERROR(__xludf.DUMMYFUNCTION("""COMPUTED_VALUE"""),"Contract")</f>
        <v>Contract</v>
      </c>
      <c r="L1207" s="7" t="str">
        <f>IFERROR(__xludf.DUMMYFUNCTION("""COMPUTED_VALUE"""),"None")</f>
        <v>None</v>
      </c>
      <c r="M1207" s="7"/>
      <c r="N1207" s="7"/>
      <c r="O1207" s="7"/>
    </row>
    <row r="1208">
      <c r="A1208" s="29">
        <f>IFERROR(__xludf.DUMMYFUNCTION("""COMPUTED_VALUE"""),1204.0)</f>
        <v>1204</v>
      </c>
      <c r="B1208" s="7" t="str">
        <f>IFERROR(__xludf.DUMMYFUNCTION("""COMPUTED_VALUE"""),"Vor mehr als 30 Tagen")</f>
        <v>Vor mehr als 30 Tagen</v>
      </c>
      <c r="C1208" s="7" t="str">
        <f>IFERROR(__xludf.DUMMYFUNCTION("""COMPUTED_VALUE"""),"Für Freelancer: Data Center Architect (m/w/d)")</f>
        <v>Für Freelancer: Data Center Architect (m/w/d)</v>
      </c>
      <c r="D1208" s="7" t="str">
        <f>IFERROR(__xludf.DUMMYFUNCTION("""COMPUTED_VALUE"""),"Stuttgart")</f>
        <v>Stuttgart</v>
      </c>
      <c r="E1208" s="7" t="str">
        <f>IFERROR(__xludf.DUMMYFUNCTION("""COMPUTED_VALUE"""),"None")</f>
        <v>None</v>
      </c>
      <c r="F1208" s="7" t="str">
        <f>IFERROR(__xludf.DUMMYFUNCTION("""COMPUTED_VALUE"""),"None")</f>
        <v>None</v>
      </c>
      <c r="G1208" s="7" t="str">
        <f>IFERROR(__xludf.DUMMYFUNCTION("""COMPUTED_VALUE"""),"No salary data")</f>
        <v>No salary data</v>
      </c>
      <c r="H1208" s="7" t="str">
        <f>IFERROR(__xludf.DUMMYFUNCTION("""COMPUTED_VALUE"""),"No salary data")</f>
        <v>No salary data</v>
      </c>
      <c r="I1208" s="7" t="str">
        <f>IFERROR(__xludf.DUMMYFUNCTION("""COMPUTED_VALUE"""),"No salary data")</f>
        <v>No salary data</v>
      </c>
      <c r="J1208" s="7"/>
      <c r="K1208" s="7" t="str">
        <f>IFERROR(__xludf.DUMMYFUNCTION("""COMPUTED_VALUE"""),"No job type data")</f>
        <v>No job type data</v>
      </c>
      <c r="L1208" s="7" t="str">
        <f>IFERROR(__xludf.DUMMYFUNCTION("""COMPUTED_VALUE"""),"None")</f>
        <v>None</v>
      </c>
      <c r="M1208" s="7"/>
      <c r="N1208" s="7"/>
      <c r="O1208" s="7"/>
    </row>
    <row r="1209">
      <c r="A1209" s="29">
        <f>IFERROR(__xludf.DUMMYFUNCTION("""COMPUTED_VALUE"""),1205.0)</f>
        <v>1205</v>
      </c>
      <c r="B1209" s="7" t="str">
        <f>IFERROR(__xludf.DUMMYFUNCTION("""COMPUTED_VALUE"""),"Vor mehr als 30 Tagen")</f>
        <v>Vor mehr als 30 Tagen</v>
      </c>
      <c r="C1209" s="7" t="str">
        <f>IFERROR(__xludf.DUMMYFUNCTION("""COMPUTED_VALUE"""),"Für Freelancer: CG")</f>
        <v>Für Freelancer: CG</v>
      </c>
      <c r="D1209" s="7" t="str">
        <f>IFERROR(__xludf.DUMMYFUNCTION("""COMPUTED_VALUE"""),"München")</f>
        <v>München</v>
      </c>
      <c r="E1209" s="7" t="str">
        <f>IFERROR(__xludf.DUMMYFUNCTION("""COMPUTED_VALUE"""),"None")</f>
        <v>None</v>
      </c>
      <c r="F1209" s="7" t="str">
        <f>IFERROR(__xludf.DUMMYFUNCTION("""COMPUTED_VALUE"""),"None")</f>
        <v>None</v>
      </c>
      <c r="G1209" s="7" t="str">
        <f>IFERROR(__xludf.DUMMYFUNCTION("""COMPUTED_VALUE"""),"No salary data")</f>
        <v>No salary data</v>
      </c>
      <c r="H1209" s="7" t="str">
        <f>IFERROR(__xludf.DUMMYFUNCTION("""COMPUTED_VALUE"""),"No salary data")</f>
        <v>No salary data</v>
      </c>
      <c r="I1209" s="7" t="str">
        <f>IFERROR(__xludf.DUMMYFUNCTION("""COMPUTED_VALUE"""),"No salary data")</f>
        <v>No salary data</v>
      </c>
      <c r="J1209" s="7" t="str">
        <f>IFERROR(__xludf.DUMMYFUNCTION("""COMPUTED_VALUE"""),"Python")</f>
        <v>Python</v>
      </c>
      <c r="K1209" s="7" t="str">
        <f>IFERROR(__xludf.DUMMYFUNCTION("""COMPUTED_VALUE"""),"No job type data")</f>
        <v>No job type data</v>
      </c>
      <c r="L1209" s="7" t="str">
        <f>IFERROR(__xludf.DUMMYFUNCTION("""COMPUTED_VALUE"""),"None")</f>
        <v>None</v>
      </c>
      <c r="M1209" s="7"/>
      <c r="N1209" s="7"/>
      <c r="O1209" s="7"/>
    </row>
    <row r="1210">
      <c r="A1210" s="29">
        <f>IFERROR(__xludf.DUMMYFUNCTION("""COMPUTED_VALUE"""),1206.0)</f>
        <v>1206</v>
      </c>
      <c r="B1210" s="7" t="str">
        <f>IFERROR(__xludf.DUMMYFUNCTION("""COMPUTED_VALUE"""),"vor 23 Tagen")</f>
        <v>vor 23 Tagen</v>
      </c>
      <c r="C1210" s="7" t="str">
        <f>IFERROR(__xludf.DUMMYFUNCTION("""COMPUTED_VALUE"""),"Statistician - Network Meta Analysis")</f>
        <v>Statistician - Network Meta Analysis</v>
      </c>
      <c r="D1210" s="7" t="str">
        <f>IFERROR(__xludf.DUMMYFUNCTION("""COMPUTED_VALUE"""),"Deutschland")</f>
        <v>Deutschland</v>
      </c>
      <c r="E1210" s="7" t="str">
        <f>IFERROR(__xludf.DUMMYFUNCTION("""COMPUTED_VALUE"""),"Barrington James")</f>
        <v>Barrington James</v>
      </c>
      <c r="F1210" s="7" t="str">
        <f>IFERROR(__xludf.DUMMYFUNCTION("""COMPUTED_VALUE"""),"None")</f>
        <v>None</v>
      </c>
      <c r="G1210" s="7" t="str">
        <f>IFERROR(__xludf.DUMMYFUNCTION("""COMPUTED_VALUE"""),"No salary data")</f>
        <v>No salary data</v>
      </c>
      <c r="H1210" s="7" t="str">
        <f>IFERROR(__xludf.DUMMYFUNCTION("""COMPUTED_VALUE"""),"No salary data")</f>
        <v>No salary data</v>
      </c>
      <c r="I1210" s="7" t="str">
        <f>IFERROR(__xludf.DUMMYFUNCTION("""COMPUTED_VALUE"""),"No salary data")</f>
        <v>No salary data</v>
      </c>
      <c r="J1210" s="7" t="str">
        <f>IFERROR(__xludf.DUMMYFUNCTION("""COMPUTED_VALUE"""),"Statistic")</f>
        <v>Statistic</v>
      </c>
      <c r="K1210" s="7" t="str">
        <f>IFERROR(__xludf.DUMMYFUNCTION("""COMPUTED_VALUE"""),"No job type data")</f>
        <v>No job type data</v>
      </c>
      <c r="L1210" s="7" t="str">
        <f>IFERROR(__xludf.DUMMYFUNCTION("""COMPUTED_VALUE"""),"None")</f>
        <v>None</v>
      </c>
      <c r="M1210" s="7"/>
      <c r="N1210" s="7"/>
      <c r="O1210" s="7"/>
    </row>
    <row r="1211">
      <c r="A1211" s="29">
        <f>IFERROR(__xludf.DUMMYFUNCTION("""COMPUTED_VALUE"""),1207.0)</f>
        <v>1207</v>
      </c>
      <c r="B1211" s="7" t="str">
        <f>IFERROR(__xludf.DUMMYFUNCTION("""COMPUTED_VALUE"""),"vor 5 Tagen")</f>
        <v>vor 5 Tagen</v>
      </c>
      <c r="C1211" s="7" t="str">
        <f>IFERROR(__xludf.DUMMYFUNCTION("""COMPUTED_VALUE"""),"Für Freelancer: Experte (m/w/d) Automatisierung SASPF in Bon...")</f>
        <v>Für Freelancer: Experte (m/w/d) Automatisierung SASPF in Bon...</v>
      </c>
      <c r="D1211" s="7" t="str">
        <f>IFERROR(__xludf.DUMMYFUNCTION("""COMPUTED_VALUE"""),"Bonn")</f>
        <v>Bonn</v>
      </c>
      <c r="E1211" s="7" t="str">
        <f>IFERROR(__xludf.DUMMYFUNCTION("""COMPUTED_VALUE"""),"None")</f>
        <v>None</v>
      </c>
      <c r="F1211" s="7" t="str">
        <f>IFERROR(__xludf.DUMMYFUNCTION("""COMPUTED_VALUE"""),"None")</f>
        <v>None</v>
      </c>
      <c r="G1211" s="7" t="str">
        <f>IFERROR(__xludf.DUMMYFUNCTION("""COMPUTED_VALUE"""),"No salary data")</f>
        <v>No salary data</v>
      </c>
      <c r="H1211" s="7" t="str">
        <f>IFERROR(__xludf.DUMMYFUNCTION("""COMPUTED_VALUE"""),"No salary data")</f>
        <v>No salary data</v>
      </c>
      <c r="I1211" s="7" t="str">
        <f>IFERROR(__xludf.DUMMYFUNCTION("""COMPUTED_VALUE"""),"No salary data")</f>
        <v>No salary data</v>
      </c>
      <c r="J1211" s="7" t="str">
        <f>IFERROR(__xludf.DUMMYFUNCTION("""COMPUTED_VALUE"""),"Linux")</f>
        <v>Linux</v>
      </c>
      <c r="K1211" s="7" t="str">
        <f>IFERROR(__xludf.DUMMYFUNCTION("""COMPUTED_VALUE"""),"No job type data")</f>
        <v>No job type data</v>
      </c>
      <c r="L1211" s="7" t="str">
        <f>IFERROR(__xludf.DUMMYFUNCTION("""COMPUTED_VALUE"""),"None")</f>
        <v>None</v>
      </c>
      <c r="M1211" s="7"/>
      <c r="N1211" s="7"/>
      <c r="O1211" s="7"/>
    </row>
    <row r="1212">
      <c r="A1212" s="29">
        <f>IFERROR(__xludf.DUMMYFUNCTION("""COMPUTED_VALUE"""),1208.0)</f>
        <v>1208</v>
      </c>
      <c r="B1212" s="7" t="str">
        <f>IFERROR(__xludf.DUMMYFUNCTION("""COMPUTED_VALUE"""),"vor 5 Tagen")</f>
        <v>vor 5 Tagen</v>
      </c>
      <c r="C1212" s="7" t="str">
        <f>IFERROR(__xludf.DUMMYFUNCTION("""COMPUTED_VALUE"""),"Für Freelancer: Fullstack Developer (Main Emphasis on Fronte...")</f>
        <v>Für Freelancer: Fullstack Developer (Main Emphasis on Fronte...</v>
      </c>
      <c r="D1212" s="7" t="str">
        <f>IFERROR(__xludf.DUMMYFUNCTION("""COMPUTED_VALUE"""),"Deutschland")</f>
        <v>Deutschland</v>
      </c>
      <c r="E1212" s="7" t="str">
        <f>IFERROR(__xludf.DUMMYFUNCTION("""COMPUTED_VALUE"""),"None")</f>
        <v>None</v>
      </c>
      <c r="F1212" s="7" t="str">
        <f>IFERROR(__xludf.DUMMYFUNCTION("""COMPUTED_VALUE"""),"None")</f>
        <v>None</v>
      </c>
      <c r="G1212" s="7" t="str">
        <f>IFERROR(__xludf.DUMMYFUNCTION("""COMPUTED_VALUE"""),"No salary data")</f>
        <v>No salary data</v>
      </c>
      <c r="H1212" s="7" t="str">
        <f>IFERROR(__xludf.DUMMYFUNCTION("""COMPUTED_VALUE"""),"No salary data")</f>
        <v>No salary data</v>
      </c>
      <c r="I1212" s="7" t="str">
        <f>IFERROR(__xludf.DUMMYFUNCTION("""COMPUTED_VALUE"""),"No salary data")</f>
        <v>No salary data</v>
      </c>
      <c r="J1212" s="7" t="str">
        <f>IFERROR(__xludf.DUMMYFUNCTION("""COMPUTED_VALUE"""),"Python, SQL, Git, Agile, Jira")</f>
        <v>Python, SQL, Git, Agile, Jira</v>
      </c>
      <c r="K1212" s="7" t="str">
        <f>IFERROR(__xludf.DUMMYFUNCTION("""COMPUTED_VALUE"""),"No job type data")</f>
        <v>No job type data</v>
      </c>
      <c r="L1212" s="7" t="str">
        <f>IFERROR(__xludf.DUMMYFUNCTION("""COMPUTED_VALUE"""),"None")</f>
        <v>None</v>
      </c>
      <c r="M1212" s="7"/>
      <c r="N1212" s="7"/>
      <c r="O1212" s="7"/>
    </row>
    <row r="1213">
      <c r="A1213" s="29">
        <f>IFERROR(__xludf.DUMMYFUNCTION("""COMPUTED_VALUE"""),1209.0)</f>
        <v>1209</v>
      </c>
      <c r="B1213" s="7" t="str">
        <f>IFERROR(__xludf.DUMMYFUNCTION("""COMPUTED_VALUE"""),"Vor mehr als 30 Tagen")</f>
        <v>Vor mehr als 30 Tagen</v>
      </c>
      <c r="C1213" s="7" t="str">
        <f>IFERROR(__xludf.DUMMYFUNCTION("""COMPUTED_VALUE"""),"Data Engineer - Intelligent Content (m/w/d)")</f>
        <v>Data Engineer - Intelligent Content (m/w/d)</v>
      </c>
      <c r="D1213" s="7" t="str">
        <f>IFERROR(__xludf.DUMMYFUNCTION("""COMPUTED_VALUE"""),"München")</f>
        <v>München</v>
      </c>
      <c r="E1213" s="7" t="str">
        <f>IFERROR(__xludf.DUMMYFUNCTION("""COMPUTED_VALUE"""),"Ippen Digital GmbH &amp; Co. KG")</f>
        <v>Ippen Digital GmbH &amp; Co. KG</v>
      </c>
      <c r="F1213" s="7" t="str">
        <f>IFERROR(__xludf.DUMMYFUNCTION("""COMPUTED_VALUE"""),"None")</f>
        <v>None</v>
      </c>
      <c r="G1213" s="7" t="str">
        <f>IFERROR(__xludf.DUMMYFUNCTION("""COMPUTED_VALUE"""),"No salary data")</f>
        <v>No salary data</v>
      </c>
      <c r="H1213" s="7" t="str">
        <f>IFERROR(__xludf.DUMMYFUNCTION("""COMPUTED_VALUE"""),"No salary data")</f>
        <v>No salary data</v>
      </c>
      <c r="I1213" s="7" t="str">
        <f>IFERROR(__xludf.DUMMYFUNCTION("""COMPUTED_VALUE"""),"No salary data")</f>
        <v>No salary data</v>
      </c>
      <c r="J1213" s="7" t="str">
        <f>IFERROR(__xludf.DUMMYFUNCTION("""COMPUTED_VALUE"""),"Python, SQL, Git")</f>
        <v>Python, SQL, Git</v>
      </c>
      <c r="K1213" s="7" t="str">
        <f>IFERROR(__xludf.DUMMYFUNCTION("""COMPUTED_VALUE"""),"No job type data")</f>
        <v>No job type data</v>
      </c>
      <c r="L1213" s="7" t="str">
        <f>IFERROR(__xludf.DUMMYFUNCTION("""COMPUTED_VALUE"""),"None")</f>
        <v>None</v>
      </c>
      <c r="M1213" s="7"/>
      <c r="N1213" s="7"/>
      <c r="O1213" s="7"/>
    </row>
    <row r="1214">
      <c r="A1214" s="29">
        <f>IFERROR(__xludf.DUMMYFUNCTION("""COMPUTED_VALUE"""),1210.0)</f>
        <v>1210</v>
      </c>
      <c r="B1214" s="7" t="str">
        <f>IFERROR(__xludf.DUMMYFUNCTION("""COMPUTED_VALUE"""),"vor 20 Tagen")</f>
        <v>vor 20 Tagen</v>
      </c>
      <c r="C1214" s="7" t="str">
        <f>IFERROR(__xludf.DUMMYFUNCTION("""COMPUTED_VALUE"""),"Für Freelancer: Productmanager Berlin/Remote")</f>
        <v>Für Freelancer: Productmanager Berlin/Remote</v>
      </c>
      <c r="D1214" s="7" t="str">
        <f>IFERROR(__xludf.DUMMYFUNCTION("""COMPUTED_VALUE"""),"Berlin")</f>
        <v>Berlin</v>
      </c>
      <c r="E1214" s="7" t="str">
        <f>IFERROR(__xludf.DUMMYFUNCTION("""COMPUTED_VALUE"""),"None")</f>
        <v>None</v>
      </c>
      <c r="F1214" s="7" t="str">
        <f>IFERROR(__xludf.DUMMYFUNCTION("""COMPUTED_VALUE"""),"500 € - 600 € pro Monat")</f>
        <v>500 € - 600 € pro Monat</v>
      </c>
      <c r="G1214" s="7">
        <f>IFERROR(__xludf.DUMMYFUNCTION("""COMPUTED_VALUE"""),550.0)</f>
        <v>550</v>
      </c>
      <c r="H1214" s="7" t="str">
        <f>IFERROR(__xludf.DUMMYFUNCTION("""COMPUTED_VALUE"""),"Monat")</f>
        <v>Monat</v>
      </c>
      <c r="I1214" s="7">
        <f>IFERROR(__xludf.DUMMYFUNCTION("""COMPUTED_VALUE"""),6600.0)</f>
        <v>6600</v>
      </c>
      <c r="J1214" s="7" t="str">
        <f>IFERROR(__xludf.DUMMYFUNCTION("""COMPUTED_VALUE"""),"Excel, Agile")</f>
        <v>Excel, Agile</v>
      </c>
      <c r="K1214" s="7" t="str">
        <f>IFERROR(__xludf.DUMMYFUNCTION("""COMPUTED_VALUE"""),"No job type data")</f>
        <v>No job type data</v>
      </c>
      <c r="L1214" s="7" t="str">
        <f>IFERROR(__xludf.DUMMYFUNCTION("""COMPUTED_VALUE"""),"None")</f>
        <v>None</v>
      </c>
      <c r="M1214" s="7"/>
      <c r="N1214" s="7"/>
      <c r="O1214" s="7"/>
    </row>
    <row r="1215">
      <c r="A1215" s="29">
        <f>IFERROR(__xludf.DUMMYFUNCTION("""COMPUTED_VALUE"""),1211.0)</f>
        <v>1211</v>
      </c>
      <c r="B1215" s="7" t="str">
        <f>IFERROR(__xludf.DUMMYFUNCTION("""COMPUTED_VALUE"""),"vor 4 Tagen")</f>
        <v>vor 4 Tagen</v>
      </c>
      <c r="C1215" s="7" t="str">
        <f>IFERROR(__xludf.DUMMYFUNCTION("""COMPUTED_VALUE"""),"Für Freelancer: Solution Architect RSA IGL (m/f/d)")</f>
        <v>Für Freelancer: Solution Architect RSA IGL (m/f/d)</v>
      </c>
      <c r="D1215" s="7" t="str">
        <f>IFERROR(__xludf.DUMMYFUNCTION("""COMPUTED_VALUE"""),"Hessen")</f>
        <v>Hessen</v>
      </c>
      <c r="E1215" s="7" t="str">
        <f>IFERROR(__xludf.DUMMYFUNCTION("""COMPUTED_VALUE"""),"None")</f>
        <v>None</v>
      </c>
      <c r="F1215" s="7" t="str">
        <f>IFERROR(__xludf.DUMMYFUNCTION("""COMPUTED_VALUE"""),"None")</f>
        <v>None</v>
      </c>
      <c r="G1215" s="7" t="str">
        <f>IFERROR(__xludf.DUMMYFUNCTION("""COMPUTED_VALUE"""),"No salary data")</f>
        <v>No salary data</v>
      </c>
      <c r="H1215" s="7" t="str">
        <f>IFERROR(__xludf.DUMMYFUNCTION("""COMPUTED_VALUE"""),"No salary data")</f>
        <v>No salary data</v>
      </c>
      <c r="I1215" s="7" t="str">
        <f>IFERROR(__xludf.DUMMYFUNCTION("""COMPUTED_VALUE"""),"No salary data")</f>
        <v>No salary data</v>
      </c>
      <c r="J1215" s="7" t="str">
        <f>IFERROR(__xludf.DUMMYFUNCTION("""COMPUTED_VALUE"""),"SQL")</f>
        <v>SQL</v>
      </c>
      <c r="K1215" s="7" t="str">
        <f>IFERROR(__xludf.DUMMYFUNCTION("""COMPUTED_VALUE"""),"No job type data")</f>
        <v>No job type data</v>
      </c>
      <c r="L1215" s="7" t="str">
        <f>IFERROR(__xludf.DUMMYFUNCTION("""COMPUTED_VALUE"""),"None")</f>
        <v>None</v>
      </c>
      <c r="M1215" s="7"/>
      <c r="N1215" s="7"/>
      <c r="O1215" s="7"/>
    </row>
    <row r="1216">
      <c r="A1216" s="29">
        <f>IFERROR(__xludf.DUMMYFUNCTION("""COMPUTED_VALUE"""),1212.0)</f>
        <v>1212</v>
      </c>
      <c r="B1216" s="7" t="str">
        <f>IFERROR(__xludf.DUMMYFUNCTION("""COMPUTED_VALUE"""),"vor 5 Tagen")</f>
        <v>vor 5 Tagen</v>
      </c>
      <c r="C1216" s="7" t="str">
        <f>IFERROR(__xludf.DUMMYFUNCTION("""COMPUTED_VALUE"""),"Für Freelancer: Splunk-Berater (m/w/d)")</f>
        <v>Für Freelancer: Splunk-Berater (m/w/d)</v>
      </c>
      <c r="D1216" s="7" t="str">
        <f>IFERROR(__xludf.DUMMYFUNCTION("""COMPUTED_VALUE"""),"Frankfurt am Main")</f>
        <v>Frankfurt am Main</v>
      </c>
      <c r="E1216" s="7" t="str">
        <f>IFERROR(__xludf.DUMMYFUNCTION("""COMPUTED_VALUE"""),"None")</f>
        <v>None</v>
      </c>
      <c r="F1216" s="7" t="str">
        <f>IFERROR(__xludf.DUMMYFUNCTION("""COMPUTED_VALUE"""),"None")</f>
        <v>None</v>
      </c>
      <c r="G1216" s="7" t="str">
        <f>IFERROR(__xludf.DUMMYFUNCTION("""COMPUTED_VALUE"""),"No salary data")</f>
        <v>No salary data</v>
      </c>
      <c r="H1216" s="7" t="str">
        <f>IFERROR(__xludf.DUMMYFUNCTION("""COMPUTED_VALUE"""),"No salary data")</f>
        <v>No salary data</v>
      </c>
      <c r="I1216" s="7" t="str">
        <f>IFERROR(__xludf.DUMMYFUNCTION("""COMPUTED_VALUE"""),"No salary data")</f>
        <v>No salary data</v>
      </c>
      <c r="J1216" s="7" t="str">
        <f>IFERROR(__xludf.DUMMYFUNCTION("""COMPUTED_VALUE"""),"Tableau")</f>
        <v>Tableau</v>
      </c>
      <c r="K1216" s="7" t="str">
        <f>IFERROR(__xludf.DUMMYFUNCTION("""COMPUTED_VALUE"""),"No job type data")</f>
        <v>No job type data</v>
      </c>
      <c r="L1216" s="7" t="str">
        <f>IFERROR(__xludf.DUMMYFUNCTION("""COMPUTED_VALUE"""),"None")</f>
        <v>None</v>
      </c>
      <c r="M1216" s="7"/>
      <c r="N1216" s="7"/>
      <c r="O1216" s="7"/>
    </row>
    <row r="1217">
      <c r="A1217" s="29">
        <f>IFERROR(__xludf.DUMMYFUNCTION("""COMPUTED_VALUE"""),1213.0)</f>
        <v>1213</v>
      </c>
      <c r="B1217" s="7" t="str">
        <f>IFERROR(__xludf.DUMMYFUNCTION("""COMPUTED_VALUE"""),"vor 23 Tagen")</f>
        <v>vor 23 Tagen</v>
      </c>
      <c r="C1217" s="7" t="str">
        <f>IFERROR(__xludf.DUMMYFUNCTION("""COMPUTED_VALUE"""),"Research Consultant - Network Meta Analysis")</f>
        <v>Research Consultant - Network Meta Analysis</v>
      </c>
      <c r="D1217" s="7" t="str">
        <f>IFERROR(__xludf.DUMMYFUNCTION("""COMPUTED_VALUE"""),"Deutschland")</f>
        <v>Deutschland</v>
      </c>
      <c r="E1217" s="7" t="str">
        <f>IFERROR(__xludf.DUMMYFUNCTION("""COMPUTED_VALUE"""),"Barrington James")</f>
        <v>Barrington James</v>
      </c>
      <c r="F1217" s="7" t="str">
        <f>IFERROR(__xludf.DUMMYFUNCTION("""COMPUTED_VALUE"""),"None")</f>
        <v>None</v>
      </c>
      <c r="G1217" s="7" t="str">
        <f>IFERROR(__xludf.DUMMYFUNCTION("""COMPUTED_VALUE"""),"No salary data")</f>
        <v>No salary data</v>
      </c>
      <c r="H1217" s="7" t="str">
        <f>IFERROR(__xludf.DUMMYFUNCTION("""COMPUTED_VALUE"""),"No salary data")</f>
        <v>No salary data</v>
      </c>
      <c r="I1217" s="7" t="str">
        <f>IFERROR(__xludf.DUMMYFUNCTION("""COMPUTED_VALUE"""),"No salary data")</f>
        <v>No salary data</v>
      </c>
      <c r="J1217" s="7" t="str">
        <f>IFERROR(__xludf.DUMMYFUNCTION("""COMPUTED_VALUE"""),"Statistic")</f>
        <v>Statistic</v>
      </c>
      <c r="K1217" s="7" t="str">
        <f>IFERROR(__xludf.DUMMYFUNCTION("""COMPUTED_VALUE"""),"No job type data")</f>
        <v>No job type data</v>
      </c>
      <c r="L1217" s="7" t="str">
        <f>IFERROR(__xludf.DUMMYFUNCTION("""COMPUTED_VALUE"""),"None")</f>
        <v>None</v>
      </c>
      <c r="M1217" s="7"/>
      <c r="N1217" s="7"/>
      <c r="O1217" s="7"/>
    </row>
    <row r="1218">
      <c r="A1218" s="29">
        <f>IFERROR(__xludf.DUMMYFUNCTION("""COMPUTED_VALUE"""),1214.0)</f>
        <v>1214</v>
      </c>
      <c r="B1218" s="7" t="str">
        <f>IFERROR(__xludf.DUMMYFUNCTION("""COMPUTED_VALUE"""),"Vor mehr als 30 Tagen")</f>
        <v>Vor mehr als 30 Tagen</v>
      </c>
      <c r="C1218" s="7" t="str">
        <f>IFERROR(__xludf.DUMMYFUNCTION("""COMPUTED_VALUE"""),"Für Freelancer: Big Data Engineer (m/w/d) für D-7 gesucht!")</f>
        <v>Für Freelancer: Big Data Engineer (m/w/d) für D-7 gesucht!</v>
      </c>
      <c r="D1218" s="7" t="str">
        <f>IFERROR(__xludf.DUMMYFUNCTION("""COMPUTED_VALUE"""),"Deutschland")</f>
        <v>Deutschland</v>
      </c>
      <c r="E1218" s="7" t="str">
        <f>IFERROR(__xludf.DUMMYFUNCTION("""COMPUTED_VALUE"""),"None")</f>
        <v>None</v>
      </c>
      <c r="F1218" s="7" t="str">
        <f>IFERROR(__xludf.DUMMYFUNCTION("""COMPUTED_VALUE"""),"None")</f>
        <v>None</v>
      </c>
      <c r="G1218" s="7" t="str">
        <f>IFERROR(__xludf.DUMMYFUNCTION("""COMPUTED_VALUE"""),"No salary data")</f>
        <v>No salary data</v>
      </c>
      <c r="H1218" s="7" t="str">
        <f>IFERROR(__xludf.DUMMYFUNCTION("""COMPUTED_VALUE"""),"No salary data")</f>
        <v>No salary data</v>
      </c>
      <c r="I1218" s="7" t="str">
        <f>IFERROR(__xludf.DUMMYFUNCTION("""COMPUTED_VALUE"""),"No salary data")</f>
        <v>No salary data</v>
      </c>
      <c r="J1218" s="7" t="str">
        <f>IFERROR(__xludf.DUMMYFUNCTION("""COMPUTED_VALUE"""),"Statistic")</f>
        <v>Statistic</v>
      </c>
      <c r="K1218" s="7" t="str">
        <f>IFERROR(__xludf.DUMMYFUNCTION("""COMPUTED_VALUE"""),"No job type data")</f>
        <v>No job type data</v>
      </c>
      <c r="L1218" s="7" t="str">
        <f>IFERROR(__xludf.DUMMYFUNCTION("""COMPUTED_VALUE"""),"None")</f>
        <v>None</v>
      </c>
      <c r="M1218" s="7"/>
      <c r="N1218" s="7"/>
      <c r="O1218" s="7"/>
    </row>
    <row r="1219">
      <c r="A1219" s="29">
        <f>IFERROR(__xludf.DUMMYFUNCTION("""COMPUTED_VALUE"""),1215.0)</f>
        <v>1215</v>
      </c>
      <c r="B1219" s="7" t="str">
        <f>IFERROR(__xludf.DUMMYFUNCTION("""COMPUTED_VALUE"""),"vor 19 Tagen")</f>
        <v>vor 19 Tagen</v>
      </c>
      <c r="C1219" s="7" t="str">
        <f>IFERROR(__xludf.DUMMYFUNCTION("""COMPUTED_VALUE"""),"Protein Scientist x 3")</f>
        <v>Protein Scientist x 3</v>
      </c>
      <c r="D1219" s="7" t="str">
        <f>IFERROR(__xludf.DUMMYFUNCTION("""COMPUTED_VALUE"""),"Deutschland")</f>
        <v>Deutschland</v>
      </c>
      <c r="E1219" s="7" t="str">
        <f>IFERROR(__xludf.DUMMYFUNCTION("""COMPUTED_VALUE"""),"NonStop Consulting")</f>
        <v>NonStop Consulting</v>
      </c>
      <c r="F1219" s="7" t="str">
        <f>IFERROR(__xludf.DUMMYFUNCTION("""COMPUTED_VALUE"""),"60,000 € - 90,000 € pro Jahr")</f>
        <v>60,000 € - 90,000 € pro Jahr</v>
      </c>
      <c r="G1219" s="7">
        <f>IFERROR(__xludf.DUMMYFUNCTION("""COMPUTED_VALUE"""),75000.0)</f>
        <v>75000</v>
      </c>
      <c r="H1219" s="7" t="str">
        <f>IFERROR(__xludf.DUMMYFUNCTION("""COMPUTED_VALUE"""),"Jahr")</f>
        <v>Jahr</v>
      </c>
      <c r="I1219" s="7">
        <f>IFERROR(__xludf.DUMMYFUNCTION("""COMPUTED_VALUE"""),75000.0)</f>
        <v>75000</v>
      </c>
      <c r="J1219" s="7"/>
      <c r="K1219" s="7" t="str">
        <f>IFERROR(__xludf.DUMMYFUNCTION("""COMPUTED_VALUE"""),"No job type data")</f>
        <v>No job type data</v>
      </c>
      <c r="L1219" s="7" t="str">
        <f>IFERROR(__xludf.DUMMYFUNCTION("""COMPUTED_VALUE"""),"None")</f>
        <v>None</v>
      </c>
      <c r="M1219" s="7"/>
      <c r="N1219" s="7"/>
      <c r="O1219" s="7"/>
    </row>
    <row r="1220">
      <c r="A1220" s="29">
        <f>IFERROR(__xludf.DUMMYFUNCTION("""COMPUTED_VALUE"""),1216.0)</f>
        <v>1216</v>
      </c>
      <c r="B1220" s="7" t="str">
        <f>IFERROR(__xludf.DUMMYFUNCTION("""COMPUTED_VALUE"""),"Vor mehr als 30 Tagen")</f>
        <v>Vor mehr als 30 Tagen</v>
      </c>
      <c r="C1220" s="7" t="str">
        <f>IFERROR(__xludf.DUMMYFUNCTION("""COMPUTED_VALUE"""),"Für Freelancer: München und remote: ODI Oracle Data Integrat...")</f>
        <v>Für Freelancer: München und remote: ODI Oracle Data Integrat...</v>
      </c>
      <c r="D1220" s="7" t="str">
        <f>IFERROR(__xludf.DUMMYFUNCTION("""COMPUTED_VALUE"""),"München")</f>
        <v>München</v>
      </c>
      <c r="E1220" s="7" t="str">
        <f>IFERROR(__xludf.DUMMYFUNCTION("""COMPUTED_VALUE"""),"None")</f>
        <v>None</v>
      </c>
      <c r="F1220" s="7" t="str">
        <f>IFERROR(__xludf.DUMMYFUNCTION("""COMPUTED_VALUE"""),"None")</f>
        <v>None</v>
      </c>
      <c r="G1220" s="7" t="str">
        <f>IFERROR(__xludf.DUMMYFUNCTION("""COMPUTED_VALUE"""),"No salary data")</f>
        <v>No salary data</v>
      </c>
      <c r="H1220" s="7" t="str">
        <f>IFERROR(__xludf.DUMMYFUNCTION("""COMPUTED_VALUE"""),"No salary data")</f>
        <v>No salary data</v>
      </c>
      <c r="I1220" s="7" t="str">
        <f>IFERROR(__xludf.DUMMYFUNCTION("""COMPUTED_VALUE"""),"No salary data")</f>
        <v>No salary data</v>
      </c>
      <c r="J1220" s="7" t="str">
        <f>IFERROR(__xludf.DUMMYFUNCTION("""COMPUTED_VALUE"""),"Agile")</f>
        <v>Agile</v>
      </c>
      <c r="K1220" s="7" t="str">
        <f>IFERROR(__xludf.DUMMYFUNCTION("""COMPUTED_VALUE"""),"No job type data")</f>
        <v>No job type data</v>
      </c>
      <c r="L1220" s="7" t="str">
        <f>IFERROR(__xludf.DUMMYFUNCTION("""COMPUTED_VALUE"""),"None")</f>
        <v>None</v>
      </c>
      <c r="M1220" s="7"/>
      <c r="N1220" s="7"/>
      <c r="O1220" s="7"/>
    </row>
    <row r="1221">
      <c r="A1221" s="29">
        <f>IFERROR(__xludf.DUMMYFUNCTION("""COMPUTED_VALUE"""),1217.0)</f>
        <v>1217</v>
      </c>
      <c r="B1221" s="7" t="str">
        <f>IFERROR(__xludf.DUMMYFUNCTION("""COMPUTED_VALUE"""),"vor 23 Tagen")</f>
        <v>vor 23 Tagen</v>
      </c>
      <c r="C1221" s="7" t="str">
        <f>IFERROR(__xludf.DUMMYFUNCTION("""COMPUTED_VALUE"""),"Statistician - Network Meta Analysis")</f>
        <v>Statistician - Network Meta Analysis</v>
      </c>
      <c r="D1221" s="7" t="str">
        <f>IFERROR(__xludf.DUMMYFUNCTION("""COMPUTED_VALUE"""),"Deutschland")</f>
        <v>Deutschland</v>
      </c>
      <c r="E1221" s="7" t="str">
        <f>IFERROR(__xludf.DUMMYFUNCTION("""COMPUTED_VALUE"""),"Barrington James")</f>
        <v>Barrington James</v>
      </c>
      <c r="F1221" s="7" t="str">
        <f>IFERROR(__xludf.DUMMYFUNCTION("""COMPUTED_VALUE"""),"None")</f>
        <v>None</v>
      </c>
      <c r="G1221" s="7" t="str">
        <f>IFERROR(__xludf.DUMMYFUNCTION("""COMPUTED_VALUE"""),"No salary data")</f>
        <v>No salary data</v>
      </c>
      <c r="H1221" s="7" t="str">
        <f>IFERROR(__xludf.DUMMYFUNCTION("""COMPUTED_VALUE"""),"No salary data")</f>
        <v>No salary data</v>
      </c>
      <c r="I1221" s="7" t="str">
        <f>IFERROR(__xludf.DUMMYFUNCTION("""COMPUTED_VALUE"""),"No salary data")</f>
        <v>No salary data</v>
      </c>
      <c r="J1221" s="7" t="str">
        <f>IFERROR(__xludf.DUMMYFUNCTION("""COMPUTED_VALUE"""),"Statistic")</f>
        <v>Statistic</v>
      </c>
      <c r="K1221" s="7" t="str">
        <f>IFERROR(__xludf.DUMMYFUNCTION("""COMPUTED_VALUE"""),"No job type data")</f>
        <v>No job type data</v>
      </c>
      <c r="L1221" s="7" t="str">
        <f>IFERROR(__xludf.DUMMYFUNCTION("""COMPUTED_VALUE"""),"None")</f>
        <v>None</v>
      </c>
      <c r="M1221" s="7"/>
      <c r="N1221" s="7"/>
      <c r="O1221" s="7"/>
    </row>
    <row r="1222">
      <c r="A1222" s="29">
        <f>IFERROR(__xludf.DUMMYFUNCTION("""COMPUTED_VALUE"""),1218.0)</f>
        <v>1218</v>
      </c>
      <c r="B1222" s="7" t="str">
        <f>IFERROR(__xludf.DUMMYFUNCTION("""COMPUTED_VALUE"""),"Vor mehr als 30 Tagen")</f>
        <v>Vor mehr als 30 Tagen</v>
      </c>
      <c r="C1222" s="7" t="str">
        <f>IFERROR(__xludf.DUMMYFUNCTION("""COMPUTED_VALUE"""),"Für Freelancer: Adobe Experience Marketing Cloud Experte (m/...")</f>
        <v>Für Freelancer: Adobe Experience Marketing Cloud Experte (m/...</v>
      </c>
      <c r="D1222" s="7" t="str">
        <f>IFERROR(__xludf.DUMMYFUNCTION("""COMPUTED_VALUE"""),"Frankfurt am Main")</f>
        <v>Frankfurt am Main</v>
      </c>
      <c r="E1222" s="7" t="str">
        <f>IFERROR(__xludf.DUMMYFUNCTION("""COMPUTED_VALUE"""),"None")</f>
        <v>None</v>
      </c>
      <c r="F1222" s="7" t="str">
        <f>IFERROR(__xludf.DUMMYFUNCTION("""COMPUTED_VALUE"""),"None")</f>
        <v>None</v>
      </c>
      <c r="G1222" s="7" t="str">
        <f>IFERROR(__xludf.DUMMYFUNCTION("""COMPUTED_VALUE"""),"No salary data")</f>
        <v>No salary data</v>
      </c>
      <c r="H1222" s="7" t="str">
        <f>IFERROR(__xludf.DUMMYFUNCTION("""COMPUTED_VALUE"""),"No salary data")</f>
        <v>No salary data</v>
      </c>
      <c r="I1222" s="7" t="str">
        <f>IFERROR(__xludf.DUMMYFUNCTION("""COMPUTED_VALUE"""),"No salary data")</f>
        <v>No salary data</v>
      </c>
      <c r="J1222" s="7"/>
      <c r="K1222" s="7" t="str">
        <f>IFERROR(__xludf.DUMMYFUNCTION("""COMPUTED_VALUE"""),"No job type data")</f>
        <v>No job type data</v>
      </c>
      <c r="L1222" s="7" t="str">
        <f>IFERROR(__xludf.DUMMYFUNCTION("""COMPUTED_VALUE"""),"None")</f>
        <v>None</v>
      </c>
      <c r="M1222" s="7"/>
      <c r="N1222" s="7"/>
      <c r="O1222" s="7"/>
    </row>
    <row r="1223">
      <c r="A1223" s="29">
        <f>IFERROR(__xludf.DUMMYFUNCTION("""COMPUTED_VALUE"""),1219.0)</f>
        <v>1219</v>
      </c>
      <c r="B1223" s="7" t="str">
        <f>IFERROR(__xludf.DUMMYFUNCTION("""COMPUTED_VALUE"""),"Vor mehr als 30 Tagen")</f>
        <v>Vor mehr als 30 Tagen</v>
      </c>
      <c r="C1223" s="7" t="str">
        <f>IFERROR(__xludf.DUMMYFUNCTION("""COMPUTED_VALUE"""),"Für Freelancer: Technischer Consultant (m/w/d)")</f>
        <v>Für Freelancer: Technischer Consultant (m/w/d)</v>
      </c>
      <c r="D1223" s="7" t="str">
        <f>IFERROR(__xludf.DUMMYFUNCTION("""COMPUTED_VALUE"""),"München")</f>
        <v>München</v>
      </c>
      <c r="E1223" s="7" t="str">
        <f>IFERROR(__xludf.DUMMYFUNCTION("""COMPUTED_VALUE"""),"None")</f>
        <v>None</v>
      </c>
      <c r="F1223" s="7" t="str">
        <f>IFERROR(__xludf.DUMMYFUNCTION("""COMPUTED_VALUE"""),"None")</f>
        <v>None</v>
      </c>
      <c r="G1223" s="7" t="str">
        <f>IFERROR(__xludf.DUMMYFUNCTION("""COMPUTED_VALUE"""),"No salary data")</f>
        <v>No salary data</v>
      </c>
      <c r="H1223" s="7" t="str">
        <f>IFERROR(__xludf.DUMMYFUNCTION("""COMPUTED_VALUE"""),"No salary data")</f>
        <v>No salary data</v>
      </c>
      <c r="I1223" s="7" t="str">
        <f>IFERROR(__xludf.DUMMYFUNCTION("""COMPUTED_VALUE"""),"No salary data")</f>
        <v>No salary data</v>
      </c>
      <c r="J1223" s="7" t="str">
        <f>IFERROR(__xludf.DUMMYFUNCTION("""COMPUTED_VALUE"""),"SQL, Git")</f>
        <v>SQL, Git</v>
      </c>
      <c r="K1223" s="7" t="str">
        <f>IFERROR(__xludf.DUMMYFUNCTION("""COMPUTED_VALUE"""),"No job type data")</f>
        <v>No job type data</v>
      </c>
      <c r="L1223" s="7" t="str">
        <f>IFERROR(__xludf.DUMMYFUNCTION("""COMPUTED_VALUE"""),"None")</f>
        <v>None</v>
      </c>
      <c r="M1223" s="7"/>
      <c r="N1223" s="7"/>
      <c r="O1223" s="7"/>
    </row>
    <row r="1224">
      <c r="A1224" s="29">
        <f>IFERROR(__xludf.DUMMYFUNCTION("""COMPUTED_VALUE"""),1220.0)</f>
        <v>1220</v>
      </c>
      <c r="B1224" s="7" t="str">
        <f>IFERROR(__xludf.DUMMYFUNCTION("""COMPUTED_VALUE"""),"Vor mehr als 30 Tagen")</f>
        <v>Vor mehr als 30 Tagen</v>
      </c>
      <c r="C1224" s="7" t="str">
        <f>IFERROR(__xludf.DUMMYFUNCTION("""COMPUTED_VALUE"""),"Junior IT-Architekt für DWH-Anwendungen (m/w/d)")</f>
        <v>Junior IT-Architekt für DWH-Anwendungen (m/w/d)</v>
      </c>
      <c r="D1224" s="7" t="str">
        <f>IFERROR(__xludf.DUMMYFUNCTION("""COMPUTED_VALUE"""),"Gotha")</f>
        <v>Gotha</v>
      </c>
      <c r="E1224" s="7" t="str">
        <f>IFERROR(__xludf.DUMMYFUNCTION("""COMPUTED_VALUE"""),"Finanz-DATA GmbH")</f>
        <v>Finanz-DATA GmbH</v>
      </c>
      <c r="F1224" s="7" t="str">
        <f>IFERROR(__xludf.DUMMYFUNCTION("""COMPUTED_VALUE"""),"None")</f>
        <v>None</v>
      </c>
      <c r="G1224" s="7" t="str">
        <f>IFERROR(__xludf.DUMMYFUNCTION("""COMPUTED_VALUE"""),"No salary data")</f>
        <v>No salary data</v>
      </c>
      <c r="H1224" s="7" t="str">
        <f>IFERROR(__xludf.DUMMYFUNCTION("""COMPUTED_VALUE"""),"No salary data")</f>
        <v>No salary data</v>
      </c>
      <c r="I1224" s="7" t="str">
        <f>IFERROR(__xludf.DUMMYFUNCTION("""COMPUTED_VALUE"""),"No salary data")</f>
        <v>No salary data</v>
      </c>
      <c r="J1224" s="7" t="str">
        <f>IFERROR(__xludf.DUMMYFUNCTION("""COMPUTED_VALUE"""),"SQL, Git, Agile")</f>
        <v>SQL, Git, Agile</v>
      </c>
      <c r="K1224" s="7" t="str">
        <f>IFERROR(__xludf.DUMMYFUNCTION("""COMPUTED_VALUE"""),"No job type data")</f>
        <v>No job type data</v>
      </c>
      <c r="L1224" s="7" t="str">
        <f>IFERROR(__xludf.DUMMYFUNCTION("""COMPUTED_VALUE"""),"None")</f>
        <v>None</v>
      </c>
      <c r="M1224" s="7"/>
      <c r="N1224" s="7"/>
      <c r="O1224" s="7"/>
    </row>
    <row r="1225">
      <c r="A1225" s="29">
        <f>IFERROR(__xludf.DUMMYFUNCTION("""COMPUTED_VALUE"""),1221.0)</f>
        <v>1221</v>
      </c>
      <c r="B1225" s="7" t="str">
        <f>IFERROR(__xludf.DUMMYFUNCTION("""COMPUTED_VALUE"""),"vor 20 Tagen")</f>
        <v>vor 20 Tagen</v>
      </c>
      <c r="C1225" s="7" t="str">
        <f>IFERROR(__xludf.DUMMYFUNCTION("""COMPUTED_VALUE"""),"Für Freelancer: Systems Engineer für München/Nürnberg gesuch...")</f>
        <v>Für Freelancer: Systems Engineer für München/Nürnberg gesuch...</v>
      </c>
      <c r="D1225" s="7" t="str">
        <f>IFERROR(__xludf.DUMMYFUNCTION("""COMPUTED_VALUE"""),"München")</f>
        <v>München</v>
      </c>
      <c r="E1225" s="7" t="str">
        <f>IFERROR(__xludf.DUMMYFUNCTION("""COMPUTED_VALUE"""),"None")</f>
        <v>None</v>
      </c>
      <c r="F1225" s="7" t="str">
        <f>IFERROR(__xludf.DUMMYFUNCTION("""COMPUTED_VALUE"""),"None")</f>
        <v>None</v>
      </c>
      <c r="G1225" s="7" t="str">
        <f>IFERROR(__xludf.DUMMYFUNCTION("""COMPUTED_VALUE"""),"No salary data")</f>
        <v>No salary data</v>
      </c>
      <c r="H1225" s="7" t="str">
        <f>IFERROR(__xludf.DUMMYFUNCTION("""COMPUTED_VALUE"""),"No salary data")</f>
        <v>No salary data</v>
      </c>
      <c r="I1225" s="7" t="str">
        <f>IFERROR(__xludf.DUMMYFUNCTION("""COMPUTED_VALUE"""),"No salary data")</f>
        <v>No salary data</v>
      </c>
      <c r="J1225" s="7"/>
      <c r="K1225" s="7" t="str">
        <f>IFERROR(__xludf.DUMMYFUNCTION("""COMPUTED_VALUE"""),"No job type data")</f>
        <v>No job type data</v>
      </c>
      <c r="L1225" s="7" t="str">
        <f>IFERROR(__xludf.DUMMYFUNCTION("""COMPUTED_VALUE"""),"None")</f>
        <v>None</v>
      </c>
      <c r="M1225" s="7"/>
      <c r="N1225" s="7"/>
      <c r="O1225" s="7"/>
    </row>
    <row r="1226">
      <c r="A1226" s="29">
        <f>IFERROR(__xludf.DUMMYFUNCTION("""COMPUTED_VALUE"""),1222.0)</f>
        <v>1222</v>
      </c>
      <c r="B1226" s="7" t="str">
        <f>IFERROR(__xludf.DUMMYFUNCTION("""COMPUTED_VALUE"""),"vor 4 Tagen")</f>
        <v>vor 4 Tagen</v>
      </c>
      <c r="C1226" s="7" t="str">
        <f>IFERROR(__xludf.DUMMYFUNCTION("""COMPUTED_VALUE"""),"Scientific Programmer - Bioinformatics")</f>
        <v>Scientific Programmer - Bioinformatics</v>
      </c>
      <c r="D1226" s="7" t="str">
        <f>IFERROR(__xludf.DUMMYFUNCTION("""COMPUTED_VALUE"""),"Deutschland")</f>
        <v>Deutschland</v>
      </c>
      <c r="E1226" s="7" t="str">
        <f>IFERROR(__xludf.DUMMYFUNCTION("""COMPUTED_VALUE"""),"Proclinical Staffing")</f>
        <v>Proclinical Staffing</v>
      </c>
      <c r="F1226" s="7" t="str">
        <f>IFERROR(__xludf.DUMMYFUNCTION("""COMPUTED_VALUE"""),"None")</f>
        <v>None</v>
      </c>
      <c r="G1226" s="7" t="str">
        <f>IFERROR(__xludf.DUMMYFUNCTION("""COMPUTED_VALUE"""),"No salary data")</f>
        <v>No salary data</v>
      </c>
      <c r="H1226" s="7" t="str">
        <f>IFERROR(__xludf.DUMMYFUNCTION("""COMPUTED_VALUE"""),"No salary data")</f>
        <v>No salary data</v>
      </c>
      <c r="I1226" s="7" t="str">
        <f>IFERROR(__xludf.DUMMYFUNCTION("""COMPUTED_VALUE"""),"No salary data")</f>
        <v>No salary data</v>
      </c>
      <c r="J1226" s="7" t="str">
        <f>IFERROR(__xludf.DUMMYFUNCTION("""COMPUTED_VALUE"""),"Python, Excel")</f>
        <v>Python, Excel</v>
      </c>
      <c r="K1226" s="7" t="str">
        <f>IFERROR(__xludf.DUMMYFUNCTION("""COMPUTED_VALUE"""),"No job type data")</f>
        <v>No job type data</v>
      </c>
      <c r="L1226" s="7" t="str">
        <f>IFERROR(__xludf.DUMMYFUNCTION("""COMPUTED_VALUE"""),"None")</f>
        <v>None</v>
      </c>
      <c r="M1226" s="7"/>
      <c r="N1226" s="7"/>
      <c r="O1226" s="7"/>
    </row>
    <row r="1227">
      <c r="A1227" s="29">
        <f>IFERROR(__xludf.DUMMYFUNCTION("""COMPUTED_VALUE"""),1223.0)</f>
        <v>1223</v>
      </c>
      <c r="B1227" s="7" t="str">
        <f>IFERROR(__xludf.DUMMYFUNCTION("""COMPUTED_VALUE"""),"Vor mehr als 30 Tagen")</f>
        <v>Vor mehr als 30 Tagen</v>
      </c>
      <c r="C1227" s="7" t="str">
        <f>IFERROR(__xludf.DUMMYFUNCTION("""COMPUTED_VALUE"""),"Für Freelancer: SW Plattform Architect")</f>
        <v>Für Freelancer: SW Plattform Architect</v>
      </c>
      <c r="D1227" s="7" t="str">
        <f>IFERROR(__xludf.DUMMYFUNCTION("""COMPUTED_VALUE"""),"München")</f>
        <v>München</v>
      </c>
      <c r="E1227" s="7" t="str">
        <f>IFERROR(__xludf.DUMMYFUNCTION("""COMPUTED_VALUE"""),"None")</f>
        <v>None</v>
      </c>
      <c r="F1227" s="7" t="str">
        <f>IFERROR(__xludf.DUMMYFUNCTION("""COMPUTED_VALUE"""),"None")</f>
        <v>None</v>
      </c>
      <c r="G1227" s="7" t="str">
        <f>IFERROR(__xludf.DUMMYFUNCTION("""COMPUTED_VALUE"""),"No salary data")</f>
        <v>No salary data</v>
      </c>
      <c r="H1227" s="7" t="str">
        <f>IFERROR(__xludf.DUMMYFUNCTION("""COMPUTED_VALUE"""),"No salary data")</f>
        <v>No salary data</v>
      </c>
      <c r="I1227" s="7" t="str">
        <f>IFERROR(__xludf.DUMMYFUNCTION("""COMPUTED_VALUE"""),"No salary data")</f>
        <v>No salary data</v>
      </c>
      <c r="J1227" s="7" t="str">
        <f>IFERROR(__xludf.DUMMYFUNCTION("""COMPUTED_VALUE"""),"Excel, Linux")</f>
        <v>Excel, Linux</v>
      </c>
      <c r="K1227" s="7" t="str">
        <f>IFERROR(__xludf.DUMMYFUNCTION("""COMPUTED_VALUE"""),"Contract")</f>
        <v>Contract</v>
      </c>
      <c r="L1227" s="7" t="str">
        <f>IFERROR(__xludf.DUMMYFUNCTION("""COMPUTED_VALUE"""),"None")</f>
        <v>None</v>
      </c>
      <c r="M1227" s="7"/>
      <c r="N1227" s="7"/>
      <c r="O1227" s="7"/>
    </row>
    <row r="1228">
      <c r="A1228" s="29">
        <f>IFERROR(__xludf.DUMMYFUNCTION("""COMPUTED_VALUE"""),1224.0)</f>
        <v>1224</v>
      </c>
      <c r="B1228" s="7" t="str">
        <f>IFERROR(__xludf.DUMMYFUNCTION("""COMPUTED_VALUE"""),"vor 23 Tagen")</f>
        <v>vor 23 Tagen</v>
      </c>
      <c r="C1228" s="7" t="str">
        <f>IFERROR(__xludf.DUMMYFUNCTION("""COMPUTED_VALUE"""),"Research Consultant - Network Meta Analysis")</f>
        <v>Research Consultant - Network Meta Analysis</v>
      </c>
      <c r="D1228" s="7" t="str">
        <f>IFERROR(__xludf.DUMMYFUNCTION("""COMPUTED_VALUE"""),"Deutschland")</f>
        <v>Deutschland</v>
      </c>
      <c r="E1228" s="7" t="str">
        <f>IFERROR(__xludf.DUMMYFUNCTION("""COMPUTED_VALUE"""),"Barrington James")</f>
        <v>Barrington James</v>
      </c>
      <c r="F1228" s="7" t="str">
        <f>IFERROR(__xludf.DUMMYFUNCTION("""COMPUTED_VALUE"""),"None")</f>
        <v>None</v>
      </c>
      <c r="G1228" s="7" t="str">
        <f>IFERROR(__xludf.DUMMYFUNCTION("""COMPUTED_VALUE"""),"No salary data")</f>
        <v>No salary data</v>
      </c>
      <c r="H1228" s="7" t="str">
        <f>IFERROR(__xludf.DUMMYFUNCTION("""COMPUTED_VALUE"""),"No salary data")</f>
        <v>No salary data</v>
      </c>
      <c r="I1228" s="7" t="str">
        <f>IFERROR(__xludf.DUMMYFUNCTION("""COMPUTED_VALUE"""),"No salary data")</f>
        <v>No salary data</v>
      </c>
      <c r="J1228" s="7" t="str">
        <f>IFERROR(__xludf.DUMMYFUNCTION("""COMPUTED_VALUE"""),"Statistic")</f>
        <v>Statistic</v>
      </c>
      <c r="K1228" s="7" t="str">
        <f>IFERROR(__xludf.DUMMYFUNCTION("""COMPUTED_VALUE"""),"No job type data")</f>
        <v>No job type data</v>
      </c>
      <c r="L1228" s="7" t="str">
        <f>IFERROR(__xludf.DUMMYFUNCTION("""COMPUTED_VALUE"""),"None")</f>
        <v>None</v>
      </c>
      <c r="M1228" s="7"/>
      <c r="N1228" s="7"/>
      <c r="O1228" s="7"/>
    </row>
    <row r="1229">
      <c r="A1229" s="29">
        <f>IFERROR(__xludf.DUMMYFUNCTION("""COMPUTED_VALUE"""),1225.0)</f>
        <v>1225</v>
      </c>
      <c r="B1229" s="7" t="str">
        <f>IFERROR(__xludf.DUMMYFUNCTION("""COMPUTED_VALUE"""),"vor 4 Tagen")</f>
        <v>vor 4 Tagen</v>
      </c>
      <c r="C1229" s="7" t="str">
        <f>IFERROR(__xludf.DUMMYFUNCTION("""COMPUTED_VALUE"""),"Für Freelancer: Solution Architect RSA IGL (m/f/d)")</f>
        <v>Für Freelancer: Solution Architect RSA IGL (m/f/d)</v>
      </c>
      <c r="D1229" s="7" t="str">
        <f>IFERROR(__xludf.DUMMYFUNCTION("""COMPUTED_VALUE"""),"Hessen")</f>
        <v>Hessen</v>
      </c>
      <c r="E1229" s="7" t="str">
        <f>IFERROR(__xludf.DUMMYFUNCTION("""COMPUTED_VALUE"""),"None")</f>
        <v>None</v>
      </c>
      <c r="F1229" s="7" t="str">
        <f>IFERROR(__xludf.DUMMYFUNCTION("""COMPUTED_VALUE"""),"None")</f>
        <v>None</v>
      </c>
      <c r="G1229" s="7" t="str">
        <f>IFERROR(__xludf.DUMMYFUNCTION("""COMPUTED_VALUE"""),"No salary data")</f>
        <v>No salary data</v>
      </c>
      <c r="H1229" s="7" t="str">
        <f>IFERROR(__xludf.DUMMYFUNCTION("""COMPUTED_VALUE"""),"No salary data")</f>
        <v>No salary data</v>
      </c>
      <c r="I1229" s="7" t="str">
        <f>IFERROR(__xludf.DUMMYFUNCTION("""COMPUTED_VALUE"""),"No salary data")</f>
        <v>No salary data</v>
      </c>
      <c r="J1229" s="7" t="str">
        <f>IFERROR(__xludf.DUMMYFUNCTION("""COMPUTED_VALUE"""),"SQL")</f>
        <v>SQL</v>
      </c>
      <c r="K1229" s="7" t="str">
        <f>IFERROR(__xludf.DUMMYFUNCTION("""COMPUTED_VALUE"""),"No job type data")</f>
        <v>No job type data</v>
      </c>
      <c r="L1229" s="7" t="str">
        <f>IFERROR(__xludf.DUMMYFUNCTION("""COMPUTED_VALUE"""),"None")</f>
        <v>None</v>
      </c>
      <c r="M1229" s="7"/>
      <c r="N1229" s="7"/>
      <c r="O1229" s="7"/>
    </row>
    <row r="1230">
      <c r="A1230" s="29">
        <f>IFERROR(__xludf.DUMMYFUNCTION("""COMPUTED_VALUE"""),1226.0)</f>
        <v>1226</v>
      </c>
      <c r="B1230" s="7" t="str">
        <f>IFERROR(__xludf.DUMMYFUNCTION("""COMPUTED_VALUE"""),"Vor mehr als 30 Tagen")</f>
        <v>Vor mehr als 30 Tagen</v>
      </c>
      <c r="C1230" s="7" t="str">
        <f>IFERROR(__xludf.DUMMYFUNCTION("""COMPUTED_VALUE"""),"AWS Cloud Data Architect (m/w/d)")</f>
        <v>AWS Cloud Data Architect (m/w/d)</v>
      </c>
      <c r="D1230" s="7" t="str">
        <f>IFERROR(__xludf.DUMMYFUNCTION("""COMPUTED_VALUE"""),"Weikersheim")</f>
        <v>Weikersheim</v>
      </c>
      <c r="E1230" s="7" t="str">
        <f>IFERROR(__xludf.DUMMYFUNCTION("""COMPUTED_VALUE"""),"TecAlliance GmbH")</f>
        <v>TecAlliance GmbH</v>
      </c>
      <c r="F1230" s="7" t="str">
        <f>IFERROR(__xludf.DUMMYFUNCTION("""COMPUTED_VALUE"""),"None")</f>
        <v>None</v>
      </c>
      <c r="G1230" s="7" t="str">
        <f>IFERROR(__xludf.DUMMYFUNCTION("""COMPUTED_VALUE"""),"No salary data")</f>
        <v>No salary data</v>
      </c>
      <c r="H1230" s="7" t="str">
        <f>IFERROR(__xludf.DUMMYFUNCTION("""COMPUTED_VALUE"""),"No salary data")</f>
        <v>No salary data</v>
      </c>
      <c r="I1230" s="7" t="str">
        <f>IFERROR(__xludf.DUMMYFUNCTION("""COMPUTED_VALUE"""),"No salary data")</f>
        <v>No salary data</v>
      </c>
      <c r="J1230" s="7" t="str">
        <f>IFERROR(__xludf.DUMMYFUNCTION("""COMPUTED_VALUE"""),"SQL, Git, Agile")</f>
        <v>SQL, Git, Agile</v>
      </c>
      <c r="K1230" s="7" t="str">
        <f>IFERROR(__xludf.DUMMYFUNCTION("""COMPUTED_VALUE"""),"No job type data")</f>
        <v>No job type data</v>
      </c>
      <c r="L1230" s="7" t="str">
        <f>IFERROR(__xludf.DUMMYFUNCTION("""COMPUTED_VALUE"""),"4,5")</f>
        <v>4,5</v>
      </c>
      <c r="M1230" s="7"/>
      <c r="N1230" s="7"/>
      <c r="O1230" s="7"/>
    </row>
    <row r="1231">
      <c r="A1231" s="29">
        <f>IFERROR(__xludf.DUMMYFUNCTION("""COMPUTED_VALUE"""),1227.0)</f>
        <v>1227</v>
      </c>
      <c r="B1231" s="7" t="str">
        <f>IFERROR(__xludf.DUMMYFUNCTION("""COMPUTED_VALUE"""),"Vor mehr als 30 Tagen")</f>
        <v>Vor mehr als 30 Tagen</v>
      </c>
      <c r="C1231" s="7" t="str">
        <f>IFERROR(__xludf.DUMMYFUNCTION("""COMPUTED_VALUE"""),"Für Freelancer: PoC: Webscraping in R")</f>
        <v>Für Freelancer: PoC: Webscraping in R</v>
      </c>
      <c r="D1231" s="7" t="str">
        <f>IFERROR(__xludf.DUMMYFUNCTION("""COMPUTED_VALUE"""),"Berlin")</f>
        <v>Berlin</v>
      </c>
      <c r="E1231" s="7" t="str">
        <f>IFERROR(__xludf.DUMMYFUNCTION("""COMPUTED_VALUE"""),"None")</f>
        <v>None</v>
      </c>
      <c r="F1231" s="7" t="str">
        <f>IFERROR(__xludf.DUMMYFUNCTION("""COMPUTED_VALUE"""),"None")</f>
        <v>None</v>
      </c>
      <c r="G1231" s="7" t="str">
        <f>IFERROR(__xludf.DUMMYFUNCTION("""COMPUTED_VALUE"""),"No salary data")</f>
        <v>No salary data</v>
      </c>
      <c r="H1231" s="7" t="str">
        <f>IFERROR(__xludf.DUMMYFUNCTION("""COMPUTED_VALUE"""),"No salary data")</f>
        <v>No salary data</v>
      </c>
      <c r="I1231" s="7" t="str">
        <f>IFERROR(__xludf.DUMMYFUNCTION("""COMPUTED_VALUE"""),"No salary data")</f>
        <v>No salary data</v>
      </c>
      <c r="J1231" s="7"/>
      <c r="K1231" s="7" t="str">
        <f>IFERROR(__xludf.DUMMYFUNCTION("""COMPUTED_VALUE"""),"No job type data")</f>
        <v>No job type data</v>
      </c>
      <c r="L1231" s="7" t="str">
        <f>IFERROR(__xludf.DUMMYFUNCTION("""COMPUTED_VALUE"""),"None")</f>
        <v>None</v>
      </c>
      <c r="M1231" s="7"/>
      <c r="N1231" s="7"/>
      <c r="O1231" s="7"/>
    </row>
    <row r="1232">
      <c r="A1232" s="29">
        <f>IFERROR(__xludf.DUMMYFUNCTION("""COMPUTED_VALUE"""),1228.0)</f>
        <v>1228</v>
      </c>
      <c r="B1232" s="7" t="str">
        <f>IFERROR(__xludf.DUMMYFUNCTION("""COMPUTED_VALUE"""),"Vor mehr als 30 Tagen")</f>
        <v>Vor mehr als 30 Tagen</v>
      </c>
      <c r="C1232" s="7" t="str">
        <f>IFERROR(__xludf.DUMMYFUNCTION("""COMPUTED_VALUE"""),"AWS Cloud Data Architect (m/w/d)")</f>
        <v>AWS Cloud Data Architect (m/w/d)</v>
      </c>
      <c r="D1232" s="7" t="str">
        <f>IFERROR(__xludf.DUMMYFUNCTION("""COMPUTED_VALUE"""),"Ismaning")</f>
        <v>Ismaning</v>
      </c>
      <c r="E1232" s="7" t="str">
        <f>IFERROR(__xludf.DUMMYFUNCTION("""COMPUTED_VALUE"""),"TecAlliance GmbH")</f>
        <v>TecAlliance GmbH</v>
      </c>
      <c r="F1232" s="7" t="str">
        <f>IFERROR(__xludf.DUMMYFUNCTION("""COMPUTED_VALUE"""),"None")</f>
        <v>None</v>
      </c>
      <c r="G1232" s="7" t="str">
        <f>IFERROR(__xludf.DUMMYFUNCTION("""COMPUTED_VALUE"""),"No salary data")</f>
        <v>No salary data</v>
      </c>
      <c r="H1232" s="7" t="str">
        <f>IFERROR(__xludf.DUMMYFUNCTION("""COMPUTED_VALUE"""),"No salary data")</f>
        <v>No salary data</v>
      </c>
      <c r="I1232" s="7" t="str">
        <f>IFERROR(__xludf.DUMMYFUNCTION("""COMPUTED_VALUE"""),"No salary data")</f>
        <v>No salary data</v>
      </c>
      <c r="J1232" s="7" t="str">
        <f>IFERROR(__xludf.DUMMYFUNCTION("""COMPUTED_VALUE"""),"SQL, Git, Agile")</f>
        <v>SQL, Git, Agile</v>
      </c>
      <c r="K1232" s="7" t="str">
        <f>IFERROR(__xludf.DUMMYFUNCTION("""COMPUTED_VALUE"""),"No job type data")</f>
        <v>No job type data</v>
      </c>
      <c r="L1232" s="7" t="str">
        <f>IFERROR(__xludf.DUMMYFUNCTION("""COMPUTED_VALUE"""),"4,5")</f>
        <v>4,5</v>
      </c>
      <c r="M1232" s="7"/>
      <c r="N1232" s="7"/>
      <c r="O1232" s="7"/>
    </row>
    <row r="1233">
      <c r="A1233" s="29">
        <f>IFERROR(__xludf.DUMMYFUNCTION("""COMPUTED_VALUE"""),1229.0)</f>
        <v>1229</v>
      </c>
      <c r="B1233" s="7" t="str">
        <f>IFERROR(__xludf.DUMMYFUNCTION("""COMPUTED_VALUE"""),"Vor mehr als 30 Tagen")</f>
        <v>Vor mehr als 30 Tagen</v>
      </c>
      <c r="C1233" s="7" t="str">
        <f>IFERROR(__xludf.DUMMYFUNCTION("""COMPUTED_VALUE"""),"Für Freelancer: DHW Entwickler (m/w/d)")</f>
        <v>Für Freelancer: DHW Entwickler (m/w/d)</v>
      </c>
      <c r="D1233" s="7" t="str">
        <f>IFERROR(__xludf.DUMMYFUNCTION("""COMPUTED_VALUE"""),"München")</f>
        <v>München</v>
      </c>
      <c r="E1233" s="7" t="str">
        <f>IFERROR(__xludf.DUMMYFUNCTION("""COMPUTED_VALUE"""),"None")</f>
        <v>None</v>
      </c>
      <c r="F1233" s="7" t="str">
        <f>IFERROR(__xludf.DUMMYFUNCTION("""COMPUTED_VALUE"""),"None")</f>
        <v>None</v>
      </c>
      <c r="G1233" s="7" t="str">
        <f>IFERROR(__xludf.DUMMYFUNCTION("""COMPUTED_VALUE"""),"No salary data")</f>
        <v>No salary data</v>
      </c>
      <c r="H1233" s="7" t="str">
        <f>IFERROR(__xludf.DUMMYFUNCTION("""COMPUTED_VALUE"""),"No salary data")</f>
        <v>No salary data</v>
      </c>
      <c r="I1233" s="7" t="str">
        <f>IFERROR(__xludf.DUMMYFUNCTION("""COMPUTED_VALUE"""),"No salary data")</f>
        <v>No salary data</v>
      </c>
      <c r="J1233" s="7" t="str">
        <f>IFERROR(__xludf.DUMMYFUNCTION("""COMPUTED_VALUE"""),"Python")</f>
        <v>Python</v>
      </c>
      <c r="K1233" s="7" t="str">
        <f>IFERROR(__xludf.DUMMYFUNCTION("""COMPUTED_VALUE"""),"No job type data")</f>
        <v>No job type data</v>
      </c>
      <c r="L1233" s="7" t="str">
        <f>IFERROR(__xludf.DUMMYFUNCTION("""COMPUTED_VALUE"""),"None")</f>
        <v>None</v>
      </c>
      <c r="M1233" s="7"/>
      <c r="N1233" s="7"/>
      <c r="O1233" s="7"/>
    </row>
    <row r="1234">
      <c r="A1234" s="29">
        <f>IFERROR(__xludf.DUMMYFUNCTION("""COMPUTED_VALUE"""),1230.0)</f>
        <v>1230</v>
      </c>
      <c r="B1234" s="7" t="str">
        <f>IFERROR(__xludf.DUMMYFUNCTION("""COMPUTED_VALUE"""),"Vor mehr als 30 Tagen")</f>
        <v>Vor mehr als 30 Tagen</v>
      </c>
      <c r="C1234" s="7" t="str">
        <f>IFERROR(__xludf.DUMMYFUNCTION("""COMPUTED_VALUE"""),"Für Freelancer: NetApp Experte (m/w/d)")</f>
        <v>Für Freelancer: NetApp Experte (m/w/d)</v>
      </c>
      <c r="D1234" s="7" t="str">
        <f>IFERROR(__xludf.DUMMYFUNCTION("""COMPUTED_VALUE"""),"Stuttgart")</f>
        <v>Stuttgart</v>
      </c>
      <c r="E1234" s="7" t="str">
        <f>IFERROR(__xludf.DUMMYFUNCTION("""COMPUTED_VALUE"""),"None")</f>
        <v>None</v>
      </c>
      <c r="F1234" s="7" t="str">
        <f>IFERROR(__xludf.DUMMYFUNCTION("""COMPUTED_VALUE"""),"None")</f>
        <v>None</v>
      </c>
      <c r="G1234" s="7" t="str">
        <f>IFERROR(__xludf.DUMMYFUNCTION("""COMPUTED_VALUE"""),"No salary data")</f>
        <v>No salary data</v>
      </c>
      <c r="H1234" s="7" t="str">
        <f>IFERROR(__xludf.DUMMYFUNCTION("""COMPUTED_VALUE"""),"No salary data")</f>
        <v>No salary data</v>
      </c>
      <c r="I1234" s="7" t="str">
        <f>IFERROR(__xludf.DUMMYFUNCTION("""COMPUTED_VALUE"""),"No salary data")</f>
        <v>No salary data</v>
      </c>
      <c r="J1234" s="7"/>
      <c r="K1234" s="7" t="str">
        <f>IFERROR(__xludf.DUMMYFUNCTION("""COMPUTED_VALUE"""),"No job type data")</f>
        <v>No job type data</v>
      </c>
      <c r="L1234" s="7" t="str">
        <f>IFERROR(__xludf.DUMMYFUNCTION("""COMPUTED_VALUE"""),"None")</f>
        <v>None</v>
      </c>
      <c r="M1234" s="7"/>
      <c r="N1234" s="7"/>
      <c r="O1234" s="7"/>
    </row>
    <row r="1235">
      <c r="A1235" s="29">
        <f>IFERROR(__xludf.DUMMYFUNCTION("""COMPUTED_VALUE"""),1231.0)</f>
        <v>1231</v>
      </c>
      <c r="B1235" s="7" t="str">
        <f>IFERROR(__xludf.DUMMYFUNCTION("""COMPUTED_VALUE"""),"Vor mehr als 30 Tagen")</f>
        <v>Vor mehr als 30 Tagen</v>
      </c>
      <c r="C1235" s="7" t="str">
        <f>IFERROR(__xludf.DUMMYFUNCTION("""COMPUTED_VALUE"""),"Für Freelancer: CA")</f>
        <v>Für Freelancer: CA</v>
      </c>
      <c r="D1235" s="7" t="str">
        <f>IFERROR(__xludf.DUMMYFUNCTION("""COMPUTED_VALUE"""),"München")</f>
        <v>München</v>
      </c>
      <c r="E1235" s="7" t="str">
        <f>IFERROR(__xludf.DUMMYFUNCTION("""COMPUTED_VALUE"""),"None")</f>
        <v>None</v>
      </c>
      <c r="F1235" s="7" t="str">
        <f>IFERROR(__xludf.DUMMYFUNCTION("""COMPUTED_VALUE"""),"None")</f>
        <v>None</v>
      </c>
      <c r="G1235" s="7" t="str">
        <f>IFERROR(__xludf.DUMMYFUNCTION("""COMPUTED_VALUE"""),"No salary data")</f>
        <v>No salary data</v>
      </c>
      <c r="H1235" s="7" t="str">
        <f>IFERROR(__xludf.DUMMYFUNCTION("""COMPUTED_VALUE"""),"No salary data")</f>
        <v>No salary data</v>
      </c>
      <c r="I1235" s="7" t="str">
        <f>IFERROR(__xludf.DUMMYFUNCTION("""COMPUTED_VALUE"""),"No salary data")</f>
        <v>No salary data</v>
      </c>
      <c r="J1235" s="7"/>
      <c r="K1235" s="7" t="str">
        <f>IFERROR(__xludf.DUMMYFUNCTION("""COMPUTED_VALUE"""),"No job type data")</f>
        <v>No job type data</v>
      </c>
      <c r="L1235" s="7" t="str">
        <f>IFERROR(__xludf.DUMMYFUNCTION("""COMPUTED_VALUE"""),"None")</f>
        <v>None</v>
      </c>
      <c r="M1235" s="7"/>
      <c r="N1235" s="7"/>
      <c r="O1235" s="7"/>
    </row>
    <row r="1236">
      <c r="A1236" s="29">
        <f>IFERROR(__xludf.DUMMYFUNCTION("""COMPUTED_VALUE"""),1232.0)</f>
        <v>1232</v>
      </c>
      <c r="B1236" s="7" t="str">
        <f>IFERROR(__xludf.DUMMYFUNCTION("""COMPUTED_VALUE"""),"Vor mehr als 30 Tagen")</f>
        <v>Vor mehr als 30 Tagen</v>
      </c>
      <c r="C1236" s="7" t="str">
        <f>IFERROR(__xludf.DUMMYFUNCTION("""COMPUTED_VALUE"""),"Für Freelancer: Softwareentwicklung im Bereich Big Data")</f>
        <v>Für Freelancer: Softwareentwicklung im Bereich Big Data</v>
      </c>
      <c r="D1236" s="7" t="str">
        <f>IFERROR(__xludf.DUMMYFUNCTION("""COMPUTED_VALUE"""),"Elberfeld")</f>
        <v>Elberfeld</v>
      </c>
      <c r="E1236" s="7" t="str">
        <f>IFERROR(__xludf.DUMMYFUNCTION("""COMPUTED_VALUE"""),"None")</f>
        <v>None</v>
      </c>
      <c r="F1236" s="7" t="str">
        <f>IFERROR(__xludf.DUMMYFUNCTION("""COMPUTED_VALUE"""),"None")</f>
        <v>None</v>
      </c>
      <c r="G1236" s="7" t="str">
        <f>IFERROR(__xludf.DUMMYFUNCTION("""COMPUTED_VALUE"""),"No salary data")</f>
        <v>No salary data</v>
      </c>
      <c r="H1236" s="7" t="str">
        <f>IFERROR(__xludf.DUMMYFUNCTION("""COMPUTED_VALUE"""),"No salary data")</f>
        <v>No salary data</v>
      </c>
      <c r="I1236" s="7" t="str">
        <f>IFERROR(__xludf.DUMMYFUNCTION("""COMPUTED_VALUE"""),"No salary data")</f>
        <v>No salary data</v>
      </c>
      <c r="J1236" s="7" t="str">
        <f>IFERROR(__xludf.DUMMYFUNCTION("""COMPUTED_VALUE"""),"SQL")</f>
        <v>SQL</v>
      </c>
      <c r="K1236" s="7" t="str">
        <f>IFERROR(__xludf.DUMMYFUNCTION("""COMPUTED_VALUE"""),"No job type data")</f>
        <v>No job type data</v>
      </c>
      <c r="L1236" s="7" t="str">
        <f>IFERROR(__xludf.DUMMYFUNCTION("""COMPUTED_VALUE"""),"None")</f>
        <v>None</v>
      </c>
      <c r="M1236" s="7"/>
      <c r="N1236" s="7"/>
      <c r="O1236" s="7"/>
    </row>
    <row r="1237">
      <c r="A1237" s="29">
        <f>IFERROR(__xludf.DUMMYFUNCTION("""COMPUTED_VALUE"""),1233.0)</f>
        <v>1233</v>
      </c>
      <c r="B1237" s="7" t="str">
        <f>IFERROR(__xludf.DUMMYFUNCTION("""COMPUTED_VALUE"""),"Vor mehr als 30 Tagen")</f>
        <v>Vor mehr als 30 Tagen</v>
      </c>
      <c r="C1237" s="7" t="str">
        <f>IFERROR(__xludf.DUMMYFUNCTION("""COMPUTED_VALUE"""),"Für Freelancer: Endkundenanfrage ID-2480: Analyst, Architect...")</f>
        <v>Für Freelancer: Endkundenanfrage ID-2480: Analyst, Architect...</v>
      </c>
      <c r="D1237" s="7" t="str">
        <f>IFERROR(__xludf.DUMMYFUNCTION("""COMPUTED_VALUE"""),"Essen")</f>
        <v>Essen</v>
      </c>
      <c r="E1237" s="7" t="str">
        <f>IFERROR(__xludf.DUMMYFUNCTION("""COMPUTED_VALUE"""),"None")</f>
        <v>None</v>
      </c>
      <c r="F1237" s="7" t="str">
        <f>IFERROR(__xludf.DUMMYFUNCTION("""COMPUTED_VALUE"""),"None")</f>
        <v>None</v>
      </c>
      <c r="G1237" s="7" t="str">
        <f>IFERROR(__xludf.DUMMYFUNCTION("""COMPUTED_VALUE"""),"No salary data")</f>
        <v>No salary data</v>
      </c>
      <c r="H1237" s="7" t="str">
        <f>IFERROR(__xludf.DUMMYFUNCTION("""COMPUTED_VALUE"""),"No salary data")</f>
        <v>No salary data</v>
      </c>
      <c r="I1237" s="7" t="str">
        <f>IFERROR(__xludf.DUMMYFUNCTION("""COMPUTED_VALUE"""),"No salary data")</f>
        <v>No salary data</v>
      </c>
      <c r="J1237" s="7" t="str">
        <f>IFERROR(__xludf.DUMMYFUNCTION("""COMPUTED_VALUE"""),"Git")</f>
        <v>Git</v>
      </c>
      <c r="K1237" s="7" t="str">
        <f>IFERROR(__xludf.DUMMYFUNCTION("""COMPUTED_VALUE"""),"No job type data")</f>
        <v>No job type data</v>
      </c>
      <c r="L1237" s="7" t="str">
        <f>IFERROR(__xludf.DUMMYFUNCTION("""COMPUTED_VALUE"""),"None")</f>
        <v>None</v>
      </c>
      <c r="M1237" s="7"/>
      <c r="N1237" s="7"/>
      <c r="O1237" s="7"/>
    </row>
    <row r="1238">
      <c r="A1238" s="29">
        <f>IFERROR(__xludf.DUMMYFUNCTION("""COMPUTED_VALUE"""),1234.0)</f>
        <v>1234</v>
      </c>
      <c r="B1238" s="7" t="str">
        <f>IFERROR(__xludf.DUMMYFUNCTION("""COMPUTED_VALUE"""),"Vor mehr als 30 Tagen")</f>
        <v>Vor mehr als 30 Tagen</v>
      </c>
      <c r="C1238" s="7" t="str">
        <f>IFERROR(__xludf.DUMMYFUNCTION("""COMPUTED_VALUE"""),"Für Freelancer: Power Apps Entwickler")</f>
        <v>Für Freelancer: Power Apps Entwickler</v>
      </c>
      <c r="D1238" s="7" t="str">
        <f>IFERROR(__xludf.DUMMYFUNCTION("""COMPUTED_VALUE"""),"Stuttgart")</f>
        <v>Stuttgart</v>
      </c>
      <c r="E1238" s="7" t="str">
        <f>IFERROR(__xludf.DUMMYFUNCTION("""COMPUTED_VALUE"""),"None")</f>
        <v>None</v>
      </c>
      <c r="F1238" s="7" t="str">
        <f>IFERROR(__xludf.DUMMYFUNCTION("""COMPUTED_VALUE"""),"None")</f>
        <v>None</v>
      </c>
      <c r="G1238" s="7" t="str">
        <f>IFERROR(__xludf.DUMMYFUNCTION("""COMPUTED_VALUE"""),"No salary data")</f>
        <v>No salary data</v>
      </c>
      <c r="H1238" s="7" t="str">
        <f>IFERROR(__xludf.DUMMYFUNCTION("""COMPUTED_VALUE"""),"No salary data")</f>
        <v>No salary data</v>
      </c>
      <c r="I1238" s="7" t="str">
        <f>IFERROR(__xludf.DUMMYFUNCTION("""COMPUTED_VALUE"""),"No salary data")</f>
        <v>No salary data</v>
      </c>
      <c r="J1238" s="7"/>
      <c r="K1238" s="7" t="str">
        <f>IFERROR(__xludf.DUMMYFUNCTION("""COMPUTED_VALUE"""),"No job type data")</f>
        <v>No job type data</v>
      </c>
      <c r="L1238" s="7" t="str">
        <f>IFERROR(__xludf.DUMMYFUNCTION("""COMPUTED_VALUE"""),"None")</f>
        <v>None</v>
      </c>
      <c r="M1238" s="7"/>
      <c r="N1238" s="7"/>
      <c r="O1238" s="7"/>
    </row>
    <row r="1239">
      <c r="A1239" s="29">
        <f>IFERROR(__xludf.DUMMYFUNCTION("""COMPUTED_VALUE"""),1235.0)</f>
        <v>1235</v>
      </c>
      <c r="B1239" s="7" t="str">
        <f>IFERROR(__xludf.DUMMYFUNCTION("""COMPUTED_VALUE"""),"Vor mehr als 30 Tagen")</f>
        <v>Vor mehr als 30 Tagen</v>
      </c>
      <c r="C1239" s="7" t="str">
        <f>IFERROR(__xludf.DUMMYFUNCTION("""COMPUTED_VALUE"""),"Für Freelancer: DWH Architekt")</f>
        <v>Für Freelancer: DWH Architekt</v>
      </c>
      <c r="D1239" s="7" t="str">
        <f>IFERROR(__xludf.DUMMYFUNCTION("""COMPUTED_VALUE"""),"Köln")</f>
        <v>Köln</v>
      </c>
      <c r="E1239" s="7" t="str">
        <f>IFERROR(__xludf.DUMMYFUNCTION("""COMPUTED_VALUE"""),"None")</f>
        <v>None</v>
      </c>
      <c r="F1239" s="7" t="str">
        <f>IFERROR(__xludf.DUMMYFUNCTION("""COMPUTED_VALUE"""),"None")</f>
        <v>None</v>
      </c>
      <c r="G1239" s="7" t="str">
        <f>IFERROR(__xludf.DUMMYFUNCTION("""COMPUTED_VALUE"""),"No salary data")</f>
        <v>No salary data</v>
      </c>
      <c r="H1239" s="7" t="str">
        <f>IFERROR(__xludf.DUMMYFUNCTION("""COMPUTED_VALUE"""),"No salary data")</f>
        <v>No salary data</v>
      </c>
      <c r="I1239" s="7" t="str">
        <f>IFERROR(__xludf.DUMMYFUNCTION("""COMPUTED_VALUE"""),"No salary data")</f>
        <v>No salary data</v>
      </c>
      <c r="J1239" s="7"/>
      <c r="K1239" s="7" t="str">
        <f>IFERROR(__xludf.DUMMYFUNCTION("""COMPUTED_VALUE"""),"No job type data")</f>
        <v>No job type data</v>
      </c>
      <c r="L1239" s="7" t="str">
        <f>IFERROR(__xludf.DUMMYFUNCTION("""COMPUTED_VALUE"""),"None")</f>
        <v>None</v>
      </c>
      <c r="M1239" s="7"/>
      <c r="N1239" s="7"/>
      <c r="O1239" s="7"/>
    </row>
    <row r="1240">
      <c r="A1240" s="29">
        <f>IFERROR(__xludf.DUMMYFUNCTION("""COMPUTED_VALUE"""),1236.0)</f>
        <v>1236</v>
      </c>
      <c r="B1240" s="7" t="str">
        <f>IFERROR(__xludf.DUMMYFUNCTION("""COMPUTED_VALUE"""),"vor 5 Tagen")</f>
        <v>vor 5 Tagen</v>
      </c>
      <c r="C1240" s="7" t="str">
        <f>IFERROR(__xludf.DUMMYFUNCTION("""COMPUTED_VALUE"""),"Für Freelancer: Experte (m/w/d) Automatisierung SASPF in Bon...")</f>
        <v>Für Freelancer: Experte (m/w/d) Automatisierung SASPF in Bon...</v>
      </c>
      <c r="D1240" s="7" t="str">
        <f>IFERROR(__xludf.DUMMYFUNCTION("""COMPUTED_VALUE"""),"Bonn")</f>
        <v>Bonn</v>
      </c>
      <c r="E1240" s="7" t="str">
        <f>IFERROR(__xludf.DUMMYFUNCTION("""COMPUTED_VALUE"""),"None")</f>
        <v>None</v>
      </c>
      <c r="F1240" s="7" t="str">
        <f>IFERROR(__xludf.DUMMYFUNCTION("""COMPUTED_VALUE"""),"None")</f>
        <v>None</v>
      </c>
      <c r="G1240" s="7" t="str">
        <f>IFERROR(__xludf.DUMMYFUNCTION("""COMPUTED_VALUE"""),"No salary data")</f>
        <v>No salary data</v>
      </c>
      <c r="H1240" s="7" t="str">
        <f>IFERROR(__xludf.DUMMYFUNCTION("""COMPUTED_VALUE"""),"No salary data")</f>
        <v>No salary data</v>
      </c>
      <c r="I1240" s="7" t="str">
        <f>IFERROR(__xludf.DUMMYFUNCTION("""COMPUTED_VALUE"""),"No salary data")</f>
        <v>No salary data</v>
      </c>
      <c r="J1240" s="7" t="str">
        <f>IFERROR(__xludf.DUMMYFUNCTION("""COMPUTED_VALUE"""),"Linux")</f>
        <v>Linux</v>
      </c>
      <c r="K1240" s="7" t="str">
        <f>IFERROR(__xludf.DUMMYFUNCTION("""COMPUTED_VALUE"""),"No job type data")</f>
        <v>No job type data</v>
      </c>
      <c r="L1240" s="7" t="str">
        <f>IFERROR(__xludf.DUMMYFUNCTION("""COMPUTED_VALUE"""),"None")</f>
        <v>None</v>
      </c>
      <c r="M1240" s="7"/>
      <c r="N1240" s="7"/>
      <c r="O1240" s="7"/>
    </row>
    <row r="1241">
      <c r="A1241" s="29">
        <f>IFERROR(__xludf.DUMMYFUNCTION("""COMPUTED_VALUE"""),1237.0)</f>
        <v>1237</v>
      </c>
      <c r="B1241" s="7" t="str">
        <f>IFERROR(__xludf.DUMMYFUNCTION("""COMPUTED_VALUE"""),"Vor mehr als 30 Tagen")</f>
        <v>Vor mehr als 30 Tagen</v>
      </c>
      <c r="C1241" s="7" t="str">
        <f>IFERROR(__xludf.DUMMYFUNCTION("""COMPUTED_VALUE"""),"Für Freelancer: Informatica MDG Consultant (w/m/d)")</f>
        <v>Für Freelancer: Informatica MDG Consultant (w/m/d)</v>
      </c>
      <c r="D1241" s="7" t="str">
        <f>IFERROR(__xludf.DUMMYFUNCTION("""COMPUTED_VALUE"""),"München")</f>
        <v>München</v>
      </c>
      <c r="E1241" s="7" t="str">
        <f>IFERROR(__xludf.DUMMYFUNCTION("""COMPUTED_VALUE"""),"None")</f>
        <v>None</v>
      </c>
      <c r="F1241" s="7" t="str">
        <f>IFERROR(__xludf.DUMMYFUNCTION("""COMPUTED_VALUE"""),"None")</f>
        <v>None</v>
      </c>
      <c r="G1241" s="7" t="str">
        <f>IFERROR(__xludf.DUMMYFUNCTION("""COMPUTED_VALUE"""),"No salary data")</f>
        <v>No salary data</v>
      </c>
      <c r="H1241" s="7" t="str">
        <f>IFERROR(__xludf.DUMMYFUNCTION("""COMPUTED_VALUE"""),"No salary data")</f>
        <v>No salary data</v>
      </c>
      <c r="I1241" s="7" t="str">
        <f>IFERROR(__xludf.DUMMYFUNCTION("""COMPUTED_VALUE"""),"No salary data")</f>
        <v>No salary data</v>
      </c>
      <c r="J1241" s="7"/>
      <c r="K1241" s="7" t="str">
        <f>IFERROR(__xludf.DUMMYFUNCTION("""COMPUTED_VALUE"""),"No job type data")</f>
        <v>No job type data</v>
      </c>
      <c r="L1241" s="7" t="str">
        <f>IFERROR(__xludf.DUMMYFUNCTION("""COMPUTED_VALUE"""),"None")</f>
        <v>None</v>
      </c>
      <c r="M1241" s="7"/>
      <c r="N1241" s="7"/>
      <c r="O1241" s="7"/>
    </row>
    <row r="1242">
      <c r="A1242" s="29">
        <f>IFERROR(__xludf.DUMMYFUNCTION("""COMPUTED_VALUE"""),1238.0)</f>
        <v>1238</v>
      </c>
      <c r="B1242" s="7" t="str">
        <f>IFERROR(__xludf.DUMMYFUNCTION("""COMPUTED_VALUE"""),"vor 26 Tagen")</f>
        <v>vor 26 Tagen</v>
      </c>
      <c r="C1242" s="7" t="str">
        <f>IFERROR(__xludf.DUMMYFUNCTION("""COMPUTED_VALUE"""),"Data Warehouse Developer (m/w/d)")</f>
        <v>Data Warehouse Developer (m/w/d)</v>
      </c>
      <c r="D1242" s="7" t="str">
        <f>IFERROR(__xludf.DUMMYFUNCTION("""COMPUTED_VALUE"""),"Ennepetal")</f>
        <v>Ennepetal</v>
      </c>
      <c r="E1242" s="7" t="str">
        <f>IFERROR(__xludf.DUMMYFUNCTION("""COMPUTED_VALUE"""),"PAKi Logistics GmbH")</f>
        <v>PAKi Logistics GmbH</v>
      </c>
      <c r="F1242" s="7" t="str">
        <f>IFERROR(__xludf.DUMMYFUNCTION("""COMPUTED_VALUE"""),"None")</f>
        <v>None</v>
      </c>
      <c r="G1242" s="7" t="str">
        <f>IFERROR(__xludf.DUMMYFUNCTION("""COMPUTED_VALUE"""),"No salary data")</f>
        <v>No salary data</v>
      </c>
      <c r="H1242" s="7" t="str">
        <f>IFERROR(__xludf.DUMMYFUNCTION("""COMPUTED_VALUE"""),"No salary data")</f>
        <v>No salary data</v>
      </c>
      <c r="I1242" s="7" t="str">
        <f>IFERROR(__xludf.DUMMYFUNCTION("""COMPUTED_VALUE"""),"No salary data")</f>
        <v>No salary data</v>
      </c>
      <c r="J1242" s="7" t="str">
        <f>IFERROR(__xludf.DUMMYFUNCTION("""COMPUTED_VALUE"""),"SQL, Git")</f>
        <v>SQL, Git</v>
      </c>
      <c r="K1242" s="7" t="str">
        <f>IFERROR(__xludf.DUMMYFUNCTION("""COMPUTED_VALUE"""),"No job type data")</f>
        <v>No job type data</v>
      </c>
      <c r="L1242" s="7" t="str">
        <f>IFERROR(__xludf.DUMMYFUNCTION("""COMPUTED_VALUE"""),"None")</f>
        <v>None</v>
      </c>
      <c r="M1242" s="7"/>
      <c r="N1242" s="7"/>
      <c r="O1242" s="7"/>
    </row>
    <row r="1243">
      <c r="A1243" s="29">
        <f>IFERROR(__xludf.DUMMYFUNCTION("""COMPUTED_VALUE"""),1239.0)</f>
        <v>1239</v>
      </c>
      <c r="B1243" s="7" t="str">
        <f>IFERROR(__xludf.DUMMYFUNCTION("""COMPUTED_VALUE"""),"vor 18 Tagen")</f>
        <v>vor 18 Tagen</v>
      </c>
      <c r="C1243" s="7" t="str">
        <f>IFERROR(__xludf.DUMMYFUNCTION("""COMPUTED_VALUE"""),"Für Freelancer: Test Management Automation")</f>
        <v>Für Freelancer: Test Management Automation</v>
      </c>
      <c r="D1243" s="7" t="str">
        <f>IFERROR(__xludf.DUMMYFUNCTION("""COMPUTED_VALUE"""),"Köln")</f>
        <v>Köln</v>
      </c>
      <c r="E1243" s="7" t="str">
        <f>IFERROR(__xludf.DUMMYFUNCTION("""COMPUTED_VALUE"""),"None")</f>
        <v>None</v>
      </c>
      <c r="F1243" s="7" t="str">
        <f>IFERROR(__xludf.DUMMYFUNCTION("""COMPUTED_VALUE"""),"None")</f>
        <v>None</v>
      </c>
      <c r="G1243" s="7" t="str">
        <f>IFERROR(__xludf.DUMMYFUNCTION("""COMPUTED_VALUE"""),"No salary data")</f>
        <v>No salary data</v>
      </c>
      <c r="H1243" s="7" t="str">
        <f>IFERROR(__xludf.DUMMYFUNCTION("""COMPUTED_VALUE"""),"No salary data")</f>
        <v>No salary data</v>
      </c>
      <c r="I1243" s="7" t="str">
        <f>IFERROR(__xludf.DUMMYFUNCTION("""COMPUTED_VALUE"""),"No salary data")</f>
        <v>No salary data</v>
      </c>
      <c r="J1243" s="7"/>
      <c r="K1243" s="7" t="str">
        <f>IFERROR(__xludf.DUMMYFUNCTION("""COMPUTED_VALUE"""),"No job type data")</f>
        <v>No job type data</v>
      </c>
      <c r="L1243" s="7" t="str">
        <f>IFERROR(__xludf.DUMMYFUNCTION("""COMPUTED_VALUE"""),"None")</f>
        <v>None</v>
      </c>
      <c r="M1243" s="7"/>
      <c r="N1243" s="7"/>
      <c r="O1243" s="7"/>
    </row>
    <row r="1244">
      <c r="A1244" s="29">
        <f>IFERROR(__xludf.DUMMYFUNCTION("""COMPUTED_VALUE"""),1240.0)</f>
        <v>1240</v>
      </c>
      <c r="B1244" s="7" t="str">
        <f>IFERROR(__xludf.DUMMYFUNCTION("""COMPUTED_VALUE"""),"vor 25 Tagen")</f>
        <v>vor 25 Tagen</v>
      </c>
      <c r="C1244" s="7" t="str">
        <f>IFERROR(__xludf.DUMMYFUNCTION("""COMPUTED_VALUE"""),"Für Freelancer: Senior Software Developer (m/w/d) - Frankfur...")</f>
        <v>Für Freelancer: Senior Software Developer (m/w/d) - Frankfur...</v>
      </c>
      <c r="D1244" s="7" t="str">
        <f>IFERROR(__xludf.DUMMYFUNCTION("""COMPUTED_VALUE"""),"Frankfurt am Main")</f>
        <v>Frankfurt am Main</v>
      </c>
      <c r="E1244" s="7" t="str">
        <f>IFERROR(__xludf.DUMMYFUNCTION("""COMPUTED_VALUE"""),"None")</f>
        <v>None</v>
      </c>
      <c r="F1244" s="7" t="str">
        <f>IFERROR(__xludf.DUMMYFUNCTION("""COMPUTED_VALUE"""),"None")</f>
        <v>None</v>
      </c>
      <c r="G1244" s="7" t="str">
        <f>IFERROR(__xludf.DUMMYFUNCTION("""COMPUTED_VALUE"""),"No salary data")</f>
        <v>No salary data</v>
      </c>
      <c r="H1244" s="7" t="str">
        <f>IFERROR(__xludf.DUMMYFUNCTION("""COMPUTED_VALUE"""),"No salary data")</f>
        <v>No salary data</v>
      </c>
      <c r="I1244" s="7" t="str">
        <f>IFERROR(__xludf.DUMMYFUNCTION("""COMPUTED_VALUE"""),"No salary data")</f>
        <v>No salary data</v>
      </c>
      <c r="J1244" s="7" t="str">
        <f>IFERROR(__xludf.DUMMYFUNCTION("""COMPUTED_VALUE"""),"SQL")</f>
        <v>SQL</v>
      </c>
      <c r="K1244" s="7" t="str">
        <f>IFERROR(__xludf.DUMMYFUNCTION("""COMPUTED_VALUE"""),"No job type data")</f>
        <v>No job type data</v>
      </c>
      <c r="L1244" s="7" t="str">
        <f>IFERROR(__xludf.DUMMYFUNCTION("""COMPUTED_VALUE"""),"None")</f>
        <v>None</v>
      </c>
      <c r="M1244" s="7"/>
      <c r="N1244" s="7"/>
      <c r="O1244" s="7"/>
    </row>
    <row r="1245">
      <c r="A1245" s="29">
        <f>IFERROR(__xludf.DUMMYFUNCTION("""COMPUTED_VALUE"""),1241.0)</f>
        <v>1241</v>
      </c>
      <c r="B1245" s="7" t="str">
        <f>IFERROR(__xludf.DUMMYFUNCTION("""COMPUTED_VALUE"""),"Vor mehr als 30 Tagen")</f>
        <v>Vor mehr als 30 Tagen</v>
      </c>
      <c r="C1245" s="7" t="str">
        <f>IFERROR(__xludf.DUMMYFUNCTION("""COMPUTED_VALUE"""),"Für Freelancer: CG")</f>
        <v>Für Freelancer: CG</v>
      </c>
      <c r="D1245" s="7" t="str">
        <f>IFERROR(__xludf.DUMMYFUNCTION("""COMPUTED_VALUE"""),"München")</f>
        <v>München</v>
      </c>
      <c r="E1245" s="7" t="str">
        <f>IFERROR(__xludf.DUMMYFUNCTION("""COMPUTED_VALUE"""),"None")</f>
        <v>None</v>
      </c>
      <c r="F1245" s="7" t="str">
        <f>IFERROR(__xludf.DUMMYFUNCTION("""COMPUTED_VALUE"""),"None")</f>
        <v>None</v>
      </c>
      <c r="G1245" s="7" t="str">
        <f>IFERROR(__xludf.DUMMYFUNCTION("""COMPUTED_VALUE"""),"No salary data")</f>
        <v>No salary data</v>
      </c>
      <c r="H1245" s="7" t="str">
        <f>IFERROR(__xludf.DUMMYFUNCTION("""COMPUTED_VALUE"""),"No salary data")</f>
        <v>No salary data</v>
      </c>
      <c r="I1245" s="7" t="str">
        <f>IFERROR(__xludf.DUMMYFUNCTION("""COMPUTED_VALUE"""),"No salary data")</f>
        <v>No salary data</v>
      </c>
      <c r="J1245" s="7" t="str">
        <f>IFERROR(__xludf.DUMMYFUNCTION("""COMPUTED_VALUE"""),"Python")</f>
        <v>Python</v>
      </c>
      <c r="K1245" s="7" t="str">
        <f>IFERROR(__xludf.DUMMYFUNCTION("""COMPUTED_VALUE"""),"No job type data")</f>
        <v>No job type data</v>
      </c>
      <c r="L1245" s="7" t="str">
        <f>IFERROR(__xludf.DUMMYFUNCTION("""COMPUTED_VALUE"""),"None")</f>
        <v>None</v>
      </c>
      <c r="M1245" s="7"/>
      <c r="N1245" s="7"/>
      <c r="O1245" s="7"/>
    </row>
    <row r="1246">
      <c r="A1246" s="29">
        <f>IFERROR(__xludf.DUMMYFUNCTION("""COMPUTED_VALUE"""),1242.0)</f>
        <v>1242</v>
      </c>
      <c r="B1246" s="7" t="str">
        <f>IFERROR(__xludf.DUMMYFUNCTION("""COMPUTED_VALUE"""),"Gerade geschaltet")</f>
        <v>Gerade geschaltet</v>
      </c>
      <c r="C1246" s="7" t="str">
        <f>IFERROR(__xludf.DUMMYFUNCTION("""COMPUTED_VALUE"""),"Für Freelancer: Azure DevOps / BI Spezialist (m/w/d)")</f>
        <v>Für Freelancer: Azure DevOps / BI Spezialist (m/w/d)</v>
      </c>
      <c r="D1246" s="7" t="str">
        <f>IFERROR(__xludf.DUMMYFUNCTION("""COMPUTED_VALUE"""),"Home Office")</f>
        <v>Home Office</v>
      </c>
      <c r="E1246" s="7" t="str">
        <f>IFERROR(__xludf.DUMMYFUNCTION("""COMPUTED_VALUE"""),"None")</f>
        <v>None</v>
      </c>
      <c r="F1246" s="7" t="str">
        <f>IFERROR(__xludf.DUMMYFUNCTION("""COMPUTED_VALUE"""),"None")</f>
        <v>None</v>
      </c>
      <c r="G1246" s="7" t="str">
        <f>IFERROR(__xludf.DUMMYFUNCTION("""COMPUTED_VALUE"""),"No salary data")</f>
        <v>No salary data</v>
      </c>
      <c r="H1246" s="7" t="str">
        <f>IFERROR(__xludf.DUMMYFUNCTION("""COMPUTED_VALUE"""),"No salary data")</f>
        <v>No salary data</v>
      </c>
      <c r="I1246" s="7" t="str">
        <f>IFERROR(__xludf.DUMMYFUNCTION("""COMPUTED_VALUE"""),"No salary data")</f>
        <v>No salary data</v>
      </c>
      <c r="J1246" s="7" t="str">
        <f>IFERROR(__xludf.DUMMYFUNCTION("""COMPUTED_VALUE"""),"Python, SQL")</f>
        <v>Python, SQL</v>
      </c>
      <c r="K1246" s="7" t="str">
        <f>IFERROR(__xludf.DUMMYFUNCTION("""COMPUTED_VALUE"""),"No job type data")</f>
        <v>No job type data</v>
      </c>
      <c r="L1246" s="7" t="str">
        <f>IFERROR(__xludf.DUMMYFUNCTION("""COMPUTED_VALUE"""),"None")</f>
        <v>None</v>
      </c>
      <c r="M1246" s="7"/>
      <c r="N1246" s="7"/>
      <c r="O1246" s="7"/>
    </row>
    <row r="1247">
      <c r="A1247" s="29">
        <f>IFERROR(__xludf.DUMMYFUNCTION("""COMPUTED_VALUE"""),1243.0)</f>
        <v>1243</v>
      </c>
      <c r="B1247" s="7" t="str">
        <f>IFERROR(__xludf.DUMMYFUNCTION("""COMPUTED_VALUE"""),"vor 17 Tagen")</f>
        <v>vor 17 Tagen</v>
      </c>
      <c r="C1247" s="7" t="str">
        <f>IFERROR(__xludf.DUMMYFUNCTION("""COMPUTED_VALUE"""),"Für Freelancer: Unterstützung Validierung / GMP - Fulltime -...")</f>
        <v>Für Freelancer: Unterstützung Validierung / GMP - Fulltime -...</v>
      </c>
      <c r="D1247" s="7" t="str">
        <f>IFERROR(__xludf.DUMMYFUNCTION("""COMPUTED_VALUE"""),"Köln")</f>
        <v>Köln</v>
      </c>
      <c r="E1247" s="7" t="str">
        <f>IFERROR(__xludf.DUMMYFUNCTION("""COMPUTED_VALUE"""),"None")</f>
        <v>None</v>
      </c>
      <c r="F1247" s="7" t="str">
        <f>IFERROR(__xludf.DUMMYFUNCTION("""COMPUTED_VALUE"""),"None")</f>
        <v>None</v>
      </c>
      <c r="G1247" s="7" t="str">
        <f>IFERROR(__xludf.DUMMYFUNCTION("""COMPUTED_VALUE"""),"No salary data")</f>
        <v>No salary data</v>
      </c>
      <c r="H1247" s="7" t="str">
        <f>IFERROR(__xludf.DUMMYFUNCTION("""COMPUTED_VALUE"""),"No salary data")</f>
        <v>No salary data</v>
      </c>
      <c r="I1247" s="7" t="str">
        <f>IFERROR(__xludf.DUMMYFUNCTION("""COMPUTED_VALUE"""),"No salary data")</f>
        <v>No salary data</v>
      </c>
      <c r="J1247" s="7"/>
      <c r="K1247" s="7" t="str">
        <f>IFERROR(__xludf.DUMMYFUNCTION("""COMPUTED_VALUE"""),"No job type data")</f>
        <v>No job type data</v>
      </c>
      <c r="L1247" s="7" t="str">
        <f>IFERROR(__xludf.DUMMYFUNCTION("""COMPUTED_VALUE"""),"None")</f>
        <v>None</v>
      </c>
      <c r="M1247" s="7"/>
      <c r="N1247" s="7"/>
      <c r="O1247" s="7"/>
    </row>
    <row r="1248">
      <c r="A1248" s="29">
        <f>IFERROR(__xludf.DUMMYFUNCTION("""COMPUTED_VALUE"""),1244.0)</f>
        <v>1244</v>
      </c>
      <c r="B1248" s="7" t="str">
        <f>IFERROR(__xludf.DUMMYFUNCTION("""COMPUTED_VALUE"""),"Vor mehr als 30 Tagen")</f>
        <v>Vor mehr als 30 Tagen</v>
      </c>
      <c r="C1248" s="7" t="str">
        <f>IFERROR(__xludf.DUMMYFUNCTION("""COMPUTED_VALUE"""),"Für Freelancer: BI-Spezialist (m/w/d)")</f>
        <v>Für Freelancer: BI-Spezialist (m/w/d)</v>
      </c>
      <c r="D1248" s="7" t="str">
        <f>IFERROR(__xludf.DUMMYFUNCTION("""COMPUTED_VALUE"""),"Baden-Württemberg")</f>
        <v>Baden-Württemberg</v>
      </c>
      <c r="E1248" s="7" t="str">
        <f>IFERROR(__xludf.DUMMYFUNCTION("""COMPUTED_VALUE"""),"None")</f>
        <v>None</v>
      </c>
      <c r="F1248" s="7" t="str">
        <f>IFERROR(__xludf.DUMMYFUNCTION("""COMPUTED_VALUE"""),"None")</f>
        <v>None</v>
      </c>
      <c r="G1248" s="7" t="str">
        <f>IFERROR(__xludf.DUMMYFUNCTION("""COMPUTED_VALUE"""),"No salary data")</f>
        <v>No salary data</v>
      </c>
      <c r="H1248" s="7" t="str">
        <f>IFERROR(__xludf.DUMMYFUNCTION("""COMPUTED_VALUE"""),"No salary data")</f>
        <v>No salary data</v>
      </c>
      <c r="I1248" s="7" t="str">
        <f>IFERROR(__xludf.DUMMYFUNCTION("""COMPUTED_VALUE"""),"No salary data")</f>
        <v>No salary data</v>
      </c>
      <c r="J1248" s="7"/>
      <c r="K1248" s="7" t="str">
        <f>IFERROR(__xludf.DUMMYFUNCTION("""COMPUTED_VALUE"""),"No job type data")</f>
        <v>No job type data</v>
      </c>
      <c r="L1248" s="7" t="str">
        <f>IFERROR(__xludf.DUMMYFUNCTION("""COMPUTED_VALUE"""),"None")</f>
        <v>None</v>
      </c>
      <c r="M1248" s="7"/>
      <c r="N1248" s="7"/>
      <c r="O1248" s="7"/>
    </row>
    <row r="1249">
      <c r="A1249" s="29">
        <f>IFERROR(__xludf.DUMMYFUNCTION("""COMPUTED_VALUE"""),1245.0)</f>
        <v>1245</v>
      </c>
      <c r="B1249" s="7" t="str">
        <f>IFERROR(__xludf.DUMMYFUNCTION("""COMPUTED_VALUE"""),"vor 6 Tagen")</f>
        <v>vor 6 Tagen</v>
      </c>
      <c r="C1249" s="7" t="str">
        <f>IFERROR(__xludf.DUMMYFUNCTION("""COMPUTED_VALUE"""),"Senior IDMP Consultant")</f>
        <v>Senior IDMP Consultant</v>
      </c>
      <c r="D1249" s="7" t="str">
        <f>IFERROR(__xludf.DUMMYFUNCTION("""COMPUTED_VALUE"""),"Deutschland")</f>
        <v>Deutschland</v>
      </c>
      <c r="E1249" s="7" t="str">
        <f>IFERROR(__xludf.DUMMYFUNCTION("""COMPUTED_VALUE"""),"NonStop Consulting")</f>
        <v>NonStop Consulting</v>
      </c>
      <c r="F1249" s="7" t="str">
        <f>IFERROR(__xludf.DUMMYFUNCTION("""COMPUTED_VALUE"""),"85,000 € pro Jahr")</f>
        <v>85,000 € pro Jahr</v>
      </c>
      <c r="G1249" s="7">
        <f>IFERROR(__xludf.DUMMYFUNCTION("""COMPUTED_VALUE"""),85000.0)</f>
        <v>85000</v>
      </c>
      <c r="H1249" s="7" t="str">
        <f>IFERROR(__xludf.DUMMYFUNCTION("""COMPUTED_VALUE"""),"Jahr")</f>
        <v>Jahr</v>
      </c>
      <c r="I1249" s="7">
        <f>IFERROR(__xludf.DUMMYFUNCTION("""COMPUTED_VALUE"""),85000.0)</f>
        <v>85000</v>
      </c>
      <c r="J1249" s="7" t="str">
        <f>IFERROR(__xludf.DUMMYFUNCTION("""COMPUTED_VALUE"""),"Excel")</f>
        <v>Excel</v>
      </c>
      <c r="K1249" s="7" t="str">
        <f>IFERROR(__xludf.DUMMYFUNCTION("""COMPUTED_VALUE"""),"No job type data")</f>
        <v>No job type data</v>
      </c>
      <c r="L1249" s="7" t="str">
        <f>IFERROR(__xludf.DUMMYFUNCTION("""COMPUTED_VALUE"""),"None")</f>
        <v>None</v>
      </c>
      <c r="M1249" s="7"/>
      <c r="N1249" s="7"/>
      <c r="O1249" s="7"/>
    </row>
    <row r="1250">
      <c r="A1250" s="29">
        <f>IFERROR(__xludf.DUMMYFUNCTION("""COMPUTED_VALUE"""),1246.0)</f>
        <v>1246</v>
      </c>
      <c r="B1250" s="7" t="str">
        <f>IFERROR(__xludf.DUMMYFUNCTION("""COMPUTED_VALUE"""),"Vor mehr als 30 Tagen")</f>
        <v>Vor mehr als 30 Tagen</v>
      </c>
      <c r="C1250" s="7" t="str">
        <f>IFERROR(__xludf.DUMMYFUNCTION("""COMPUTED_VALUE"""),"Data Integration Engineer (m/w/d)")</f>
        <v>Data Integration Engineer (m/w/d)</v>
      </c>
      <c r="D1250" s="7" t="str">
        <f>IFERROR(__xludf.DUMMYFUNCTION("""COMPUTED_VALUE"""),"Weikersheim")</f>
        <v>Weikersheim</v>
      </c>
      <c r="E1250" s="7" t="str">
        <f>IFERROR(__xludf.DUMMYFUNCTION("""COMPUTED_VALUE"""),"TecAlliance GmbH")</f>
        <v>TecAlliance GmbH</v>
      </c>
      <c r="F1250" s="7" t="str">
        <f>IFERROR(__xludf.DUMMYFUNCTION("""COMPUTED_VALUE"""),"None")</f>
        <v>None</v>
      </c>
      <c r="G1250" s="7" t="str">
        <f>IFERROR(__xludf.DUMMYFUNCTION("""COMPUTED_VALUE"""),"No salary data")</f>
        <v>No salary data</v>
      </c>
      <c r="H1250" s="7" t="str">
        <f>IFERROR(__xludf.DUMMYFUNCTION("""COMPUTED_VALUE"""),"No salary data")</f>
        <v>No salary data</v>
      </c>
      <c r="I1250" s="7" t="str">
        <f>IFERROR(__xludf.DUMMYFUNCTION("""COMPUTED_VALUE"""),"No salary data")</f>
        <v>No salary data</v>
      </c>
      <c r="J1250" s="7" t="str">
        <f>IFERROR(__xludf.DUMMYFUNCTION("""COMPUTED_VALUE"""),"SQL, Git, Agile")</f>
        <v>SQL, Git, Agile</v>
      </c>
      <c r="K1250" s="7" t="str">
        <f>IFERROR(__xludf.DUMMYFUNCTION("""COMPUTED_VALUE"""),"No job type data")</f>
        <v>No job type data</v>
      </c>
      <c r="L1250" s="7" t="str">
        <f>IFERROR(__xludf.DUMMYFUNCTION("""COMPUTED_VALUE"""),"4,5")</f>
        <v>4,5</v>
      </c>
      <c r="M1250" s="7"/>
      <c r="N1250" s="7"/>
      <c r="O1250" s="7"/>
    </row>
    <row r="1251">
      <c r="A1251" s="29">
        <f>IFERROR(__xludf.DUMMYFUNCTION("""COMPUTED_VALUE"""),1247.0)</f>
        <v>1247</v>
      </c>
      <c r="B1251" s="7" t="str">
        <f>IFERROR(__xludf.DUMMYFUNCTION("""COMPUTED_VALUE"""),"vor 26 Tagen")</f>
        <v>vor 26 Tagen</v>
      </c>
      <c r="C1251" s="7" t="str">
        <f>IFERROR(__xludf.DUMMYFUNCTION("""COMPUTED_VALUE"""),"Für Freelancer: Softwarearchitekt (m/w/d)")</f>
        <v>Für Freelancer: Softwarearchitekt (m/w/d)</v>
      </c>
      <c r="D1251" s="7" t="str">
        <f>IFERROR(__xludf.DUMMYFUNCTION("""COMPUTED_VALUE"""),"Berlin")</f>
        <v>Berlin</v>
      </c>
      <c r="E1251" s="7" t="str">
        <f>IFERROR(__xludf.DUMMYFUNCTION("""COMPUTED_VALUE"""),"None")</f>
        <v>None</v>
      </c>
      <c r="F1251" s="7" t="str">
        <f>IFERROR(__xludf.DUMMYFUNCTION("""COMPUTED_VALUE"""),"None")</f>
        <v>None</v>
      </c>
      <c r="G1251" s="7" t="str">
        <f>IFERROR(__xludf.DUMMYFUNCTION("""COMPUTED_VALUE"""),"No salary data")</f>
        <v>No salary data</v>
      </c>
      <c r="H1251" s="7" t="str">
        <f>IFERROR(__xludf.DUMMYFUNCTION("""COMPUTED_VALUE"""),"No salary data")</f>
        <v>No salary data</v>
      </c>
      <c r="I1251" s="7" t="str">
        <f>IFERROR(__xludf.DUMMYFUNCTION("""COMPUTED_VALUE"""),"No salary data")</f>
        <v>No salary data</v>
      </c>
      <c r="J1251" s="7"/>
      <c r="K1251" s="7" t="str">
        <f>IFERROR(__xludf.DUMMYFUNCTION("""COMPUTED_VALUE"""),"No job type data")</f>
        <v>No job type data</v>
      </c>
      <c r="L1251" s="7" t="str">
        <f>IFERROR(__xludf.DUMMYFUNCTION("""COMPUTED_VALUE"""),"None")</f>
        <v>None</v>
      </c>
      <c r="M1251" s="7"/>
      <c r="N1251" s="7"/>
      <c r="O1251" s="7"/>
    </row>
    <row r="1252">
      <c r="A1252" s="29">
        <f>IFERROR(__xludf.DUMMYFUNCTION("""COMPUTED_VALUE"""),1248.0)</f>
        <v>1248</v>
      </c>
      <c r="B1252" s="7" t="str">
        <f>IFERROR(__xludf.DUMMYFUNCTION("""COMPUTED_VALUE"""),"vor 14 Tagen")</f>
        <v>vor 14 Tagen</v>
      </c>
      <c r="C1252" s="7" t="str">
        <f>IFERROR(__xludf.DUMMYFUNCTION("""COMPUTED_VALUE"""),"Für Freelancer: Cloud Entwickler &amp; Consultant (m/w/d)")</f>
        <v>Für Freelancer: Cloud Entwickler &amp; Consultant (m/w/d)</v>
      </c>
      <c r="D1252" s="7" t="str">
        <f>IFERROR(__xludf.DUMMYFUNCTION("""COMPUTED_VALUE"""),"München")</f>
        <v>München</v>
      </c>
      <c r="E1252" s="7" t="str">
        <f>IFERROR(__xludf.DUMMYFUNCTION("""COMPUTED_VALUE"""),"None")</f>
        <v>None</v>
      </c>
      <c r="F1252" s="7" t="str">
        <f>IFERROR(__xludf.DUMMYFUNCTION("""COMPUTED_VALUE"""),"None")</f>
        <v>None</v>
      </c>
      <c r="G1252" s="7" t="str">
        <f>IFERROR(__xludf.DUMMYFUNCTION("""COMPUTED_VALUE"""),"No salary data")</f>
        <v>No salary data</v>
      </c>
      <c r="H1252" s="7" t="str">
        <f>IFERROR(__xludf.DUMMYFUNCTION("""COMPUTED_VALUE"""),"No salary data")</f>
        <v>No salary data</v>
      </c>
      <c r="I1252" s="7" t="str">
        <f>IFERROR(__xludf.DUMMYFUNCTION("""COMPUTED_VALUE"""),"No salary data")</f>
        <v>No salary data</v>
      </c>
      <c r="J1252" s="7" t="str">
        <f>IFERROR(__xludf.DUMMYFUNCTION("""COMPUTED_VALUE"""),"Python, SQL, Scrum")</f>
        <v>Python, SQL, Scrum</v>
      </c>
      <c r="K1252" s="7" t="str">
        <f>IFERROR(__xludf.DUMMYFUNCTION("""COMPUTED_VALUE"""),"No job type data")</f>
        <v>No job type data</v>
      </c>
      <c r="L1252" s="7" t="str">
        <f>IFERROR(__xludf.DUMMYFUNCTION("""COMPUTED_VALUE"""),"None")</f>
        <v>None</v>
      </c>
      <c r="M1252" s="7"/>
      <c r="N1252" s="7"/>
      <c r="O1252" s="7"/>
    </row>
    <row r="1253">
      <c r="A1253" s="29">
        <f>IFERROR(__xludf.DUMMYFUNCTION("""COMPUTED_VALUE"""),1249.0)</f>
        <v>1249</v>
      </c>
      <c r="B1253" s="7" t="str">
        <f>IFERROR(__xludf.DUMMYFUNCTION("""COMPUTED_VALUE"""),"vor 4 Tagen")</f>
        <v>vor 4 Tagen</v>
      </c>
      <c r="C1253" s="7" t="str">
        <f>IFERROR(__xludf.DUMMYFUNCTION("""COMPUTED_VALUE"""),"Für Freelancer: Senior Monitoring Consultant")</f>
        <v>Für Freelancer: Senior Monitoring Consultant</v>
      </c>
      <c r="D1253" s="7" t="str">
        <f>IFERROR(__xludf.DUMMYFUNCTION("""COMPUTED_VALUE"""),"Düsseldorf")</f>
        <v>Düsseldorf</v>
      </c>
      <c r="E1253" s="7" t="str">
        <f>IFERROR(__xludf.DUMMYFUNCTION("""COMPUTED_VALUE"""),"None")</f>
        <v>None</v>
      </c>
      <c r="F1253" s="7" t="str">
        <f>IFERROR(__xludf.DUMMYFUNCTION("""COMPUTED_VALUE"""),"None")</f>
        <v>None</v>
      </c>
      <c r="G1253" s="7" t="str">
        <f>IFERROR(__xludf.DUMMYFUNCTION("""COMPUTED_VALUE"""),"No salary data")</f>
        <v>No salary data</v>
      </c>
      <c r="H1253" s="7" t="str">
        <f>IFERROR(__xludf.DUMMYFUNCTION("""COMPUTED_VALUE"""),"No salary data")</f>
        <v>No salary data</v>
      </c>
      <c r="I1253" s="7" t="str">
        <f>IFERROR(__xludf.DUMMYFUNCTION("""COMPUTED_VALUE"""),"No salary data")</f>
        <v>No salary data</v>
      </c>
      <c r="J1253" s="7"/>
      <c r="K1253" s="7" t="str">
        <f>IFERROR(__xludf.DUMMYFUNCTION("""COMPUTED_VALUE"""),"No job type data")</f>
        <v>No job type data</v>
      </c>
      <c r="L1253" s="7" t="str">
        <f>IFERROR(__xludf.DUMMYFUNCTION("""COMPUTED_VALUE"""),"None")</f>
        <v>None</v>
      </c>
      <c r="M1253" s="7"/>
      <c r="N1253" s="7"/>
      <c r="O1253" s="7"/>
    </row>
    <row r="1254">
      <c r="A1254" s="29">
        <f>IFERROR(__xludf.DUMMYFUNCTION("""COMPUTED_VALUE"""),1250.0)</f>
        <v>1250</v>
      </c>
      <c r="B1254" s="7" t="str">
        <f>IFERROR(__xludf.DUMMYFUNCTION("""COMPUTED_VALUE"""),"vor 5 Tagen")</f>
        <v>vor 5 Tagen</v>
      </c>
      <c r="C1254" s="7" t="str">
        <f>IFERROR(__xludf.DUMMYFUNCTION("""COMPUTED_VALUE"""),"Für Freelancer: SAP MDG, SAP ABAP Entwickler (m/w/d) remote")</f>
        <v>Für Freelancer: SAP MDG, SAP ABAP Entwickler (m/w/d) remote</v>
      </c>
      <c r="D1254" s="7" t="str">
        <f>IFERROR(__xludf.DUMMYFUNCTION("""COMPUTED_VALUE"""),"Home Office")</f>
        <v>Home Office</v>
      </c>
      <c r="E1254" s="7" t="str">
        <f>IFERROR(__xludf.DUMMYFUNCTION("""COMPUTED_VALUE"""),"None")</f>
        <v>None</v>
      </c>
      <c r="F1254" s="7" t="str">
        <f>IFERROR(__xludf.DUMMYFUNCTION("""COMPUTED_VALUE"""),"None")</f>
        <v>None</v>
      </c>
      <c r="G1254" s="7" t="str">
        <f>IFERROR(__xludf.DUMMYFUNCTION("""COMPUTED_VALUE"""),"No salary data")</f>
        <v>No salary data</v>
      </c>
      <c r="H1254" s="7" t="str">
        <f>IFERROR(__xludf.DUMMYFUNCTION("""COMPUTED_VALUE"""),"No salary data")</f>
        <v>No salary data</v>
      </c>
      <c r="I1254" s="7" t="str">
        <f>IFERROR(__xludf.DUMMYFUNCTION("""COMPUTED_VALUE"""),"No salary data")</f>
        <v>No salary data</v>
      </c>
      <c r="J1254" s="7" t="str">
        <f>IFERROR(__xludf.DUMMYFUNCTION("""COMPUTED_VALUE"""),"Excel")</f>
        <v>Excel</v>
      </c>
      <c r="K1254" s="7" t="str">
        <f>IFERROR(__xludf.DUMMYFUNCTION("""COMPUTED_VALUE"""),"No job type data")</f>
        <v>No job type data</v>
      </c>
      <c r="L1254" s="7" t="str">
        <f>IFERROR(__xludf.DUMMYFUNCTION("""COMPUTED_VALUE"""),"None")</f>
        <v>None</v>
      </c>
      <c r="M1254" s="7"/>
      <c r="N1254" s="7"/>
      <c r="O1254" s="7"/>
    </row>
    <row r="1255">
      <c r="A1255" s="29">
        <f>IFERROR(__xludf.DUMMYFUNCTION("""COMPUTED_VALUE"""),1251.0)</f>
        <v>1251</v>
      </c>
      <c r="B1255" s="7" t="str">
        <f>IFERROR(__xludf.DUMMYFUNCTION("""COMPUTED_VALUE"""),"vor 23 Tagen")</f>
        <v>vor 23 Tagen</v>
      </c>
      <c r="C1255" s="7" t="str">
        <f>IFERROR(__xludf.DUMMYFUNCTION("""COMPUTED_VALUE"""),"Research Consultant - Meta Analysis")</f>
        <v>Research Consultant - Meta Analysis</v>
      </c>
      <c r="D1255" s="7" t="str">
        <f>IFERROR(__xludf.DUMMYFUNCTION("""COMPUTED_VALUE"""),"Deutschland")</f>
        <v>Deutschland</v>
      </c>
      <c r="E1255" s="7" t="str">
        <f>IFERROR(__xludf.DUMMYFUNCTION("""COMPUTED_VALUE"""),"Barrington James")</f>
        <v>Barrington James</v>
      </c>
      <c r="F1255" s="7" t="str">
        <f>IFERROR(__xludf.DUMMYFUNCTION("""COMPUTED_VALUE"""),"None")</f>
        <v>None</v>
      </c>
      <c r="G1255" s="7" t="str">
        <f>IFERROR(__xludf.DUMMYFUNCTION("""COMPUTED_VALUE"""),"No salary data")</f>
        <v>No salary data</v>
      </c>
      <c r="H1255" s="7" t="str">
        <f>IFERROR(__xludf.DUMMYFUNCTION("""COMPUTED_VALUE"""),"No salary data")</f>
        <v>No salary data</v>
      </c>
      <c r="I1255" s="7" t="str">
        <f>IFERROR(__xludf.DUMMYFUNCTION("""COMPUTED_VALUE"""),"No salary data")</f>
        <v>No salary data</v>
      </c>
      <c r="J1255" s="7" t="str">
        <f>IFERROR(__xludf.DUMMYFUNCTION("""COMPUTED_VALUE"""),"Statistic")</f>
        <v>Statistic</v>
      </c>
      <c r="K1255" s="7" t="str">
        <f>IFERROR(__xludf.DUMMYFUNCTION("""COMPUTED_VALUE"""),"No job type data")</f>
        <v>No job type data</v>
      </c>
      <c r="L1255" s="7" t="str">
        <f>IFERROR(__xludf.DUMMYFUNCTION("""COMPUTED_VALUE"""),"None")</f>
        <v>None</v>
      </c>
      <c r="M1255" s="7"/>
      <c r="N1255" s="7"/>
      <c r="O1255" s="7"/>
    </row>
    <row r="1256">
      <c r="A1256" s="29">
        <f>IFERROR(__xludf.DUMMYFUNCTION("""COMPUTED_VALUE"""),1252.0)</f>
        <v>1252</v>
      </c>
      <c r="B1256" s="7" t="str">
        <f>IFERROR(__xludf.DUMMYFUNCTION("""COMPUTED_VALUE"""),"Vor mehr als 30 Tagen")</f>
        <v>Vor mehr als 30 Tagen</v>
      </c>
      <c r="C1256" s="7" t="str">
        <f>IFERROR(__xludf.DUMMYFUNCTION("""COMPUTED_VALUE"""),"Für Freelancer: SQL Server DBA")</f>
        <v>Für Freelancer: SQL Server DBA</v>
      </c>
      <c r="D1256" s="7" t="str">
        <f>IFERROR(__xludf.DUMMYFUNCTION("""COMPUTED_VALUE"""),"Hannover")</f>
        <v>Hannover</v>
      </c>
      <c r="E1256" s="7" t="str">
        <f>IFERROR(__xludf.DUMMYFUNCTION("""COMPUTED_VALUE"""),"None")</f>
        <v>None</v>
      </c>
      <c r="F1256" s="7" t="str">
        <f>IFERROR(__xludf.DUMMYFUNCTION("""COMPUTED_VALUE"""),"None")</f>
        <v>None</v>
      </c>
      <c r="G1256" s="7" t="str">
        <f>IFERROR(__xludf.DUMMYFUNCTION("""COMPUTED_VALUE"""),"No salary data")</f>
        <v>No salary data</v>
      </c>
      <c r="H1256" s="7" t="str">
        <f>IFERROR(__xludf.DUMMYFUNCTION("""COMPUTED_VALUE"""),"No salary data")</f>
        <v>No salary data</v>
      </c>
      <c r="I1256" s="7" t="str">
        <f>IFERROR(__xludf.DUMMYFUNCTION("""COMPUTED_VALUE"""),"No salary data")</f>
        <v>No salary data</v>
      </c>
      <c r="J1256" s="7" t="str">
        <f>IFERROR(__xludf.DUMMYFUNCTION("""COMPUTED_VALUE"""),"SQL")</f>
        <v>SQL</v>
      </c>
      <c r="K1256" s="7" t="str">
        <f>IFERROR(__xludf.DUMMYFUNCTION("""COMPUTED_VALUE"""),"No job type data")</f>
        <v>No job type data</v>
      </c>
      <c r="L1256" s="7" t="str">
        <f>IFERROR(__xludf.DUMMYFUNCTION("""COMPUTED_VALUE"""),"None")</f>
        <v>None</v>
      </c>
      <c r="M1256" s="7"/>
      <c r="N1256" s="7"/>
      <c r="O1256" s="7"/>
    </row>
    <row r="1257">
      <c r="A1257" s="29">
        <f>IFERROR(__xludf.DUMMYFUNCTION("""COMPUTED_VALUE"""),1253.0)</f>
        <v>1253</v>
      </c>
      <c r="B1257" s="7" t="str">
        <f>IFERROR(__xludf.DUMMYFUNCTION("""COMPUTED_VALUE"""),"vor 23 Tagen")</f>
        <v>vor 23 Tagen</v>
      </c>
      <c r="C1257" s="7" t="str">
        <f>IFERROR(__xludf.DUMMYFUNCTION("""COMPUTED_VALUE"""),"Statistician / Research Consultant - Meta Analysis")</f>
        <v>Statistician / Research Consultant - Meta Analysis</v>
      </c>
      <c r="D1257" s="7" t="str">
        <f>IFERROR(__xludf.DUMMYFUNCTION("""COMPUTED_VALUE"""),"Deutschland")</f>
        <v>Deutschland</v>
      </c>
      <c r="E1257" s="7" t="str">
        <f>IFERROR(__xludf.DUMMYFUNCTION("""COMPUTED_VALUE"""),"Barrington James")</f>
        <v>Barrington James</v>
      </c>
      <c r="F1257" s="7" t="str">
        <f>IFERROR(__xludf.DUMMYFUNCTION("""COMPUTED_VALUE"""),"None")</f>
        <v>None</v>
      </c>
      <c r="G1257" s="7" t="str">
        <f>IFERROR(__xludf.DUMMYFUNCTION("""COMPUTED_VALUE"""),"No salary data")</f>
        <v>No salary data</v>
      </c>
      <c r="H1257" s="7" t="str">
        <f>IFERROR(__xludf.DUMMYFUNCTION("""COMPUTED_VALUE"""),"No salary data")</f>
        <v>No salary data</v>
      </c>
      <c r="I1257" s="7" t="str">
        <f>IFERROR(__xludf.DUMMYFUNCTION("""COMPUTED_VALUE"""),"No salary data")</f>
        <v>No salary data</v>
      </c>
      <c r="J1257" s="7" t="str">
        <f>IFERROR(__xludf.DUMMYFUNCTION("""COMPUTED_VALUE"""),"Statistic")</f>
        <v>Statistic</v>
      </c>
      <c r="K1257" s="7" t="str">
        <f>IFERROR(__xludf.DUMMYFUNCTION("""COMPUTED_VALUE"""),"No job type data")</f>
        <v>No job type data</v>
      </c>
      <c r="L1257" s="7" t="str">
        <f>IFERROR(__xludf.DUMMYFUNCTION("""COMPUTED_VALUE"""),"None")</f>
        <v>None</v>
      </c>
      <c r="M1257" s="7"/>
      <c r="N1257" s="7"/>
      <c r="O1257" s="7"/>
    </row>
    <row r="1258">
      <c r="A1258" s="29">
        <f>IFERROR(__xludf.DUMMYFUNCTION("""COMPUTED_VALUE"""),1254.0)</f>
        <v>1254</v>
      </c>
      <c r="B1258" s="7" t="str">
        <f>IFERROR(__xludf.DUMMYFUNCTION("""COMPUTED_VALUE"""),"Vor mehr als 30 Tagen")</f>
        <v>Vor mehr als 30 Tagen</v>
      </c>
      <c r="C1258" s="7" t="str">
        <f>IFERROR(__xludf.DUMMYFUNCTION("""COMPUTED_VALUE"""),"Für Freelancer: Informatica MDG Consultant (w/m/d)")</f>
        <v>Für Freelancer: Informatica MDG Consultant (w/m/d)</v>
      </c>
      <c r="D1258" s="7" t="str">
        <f>IFERROR(__xludf.DUMMYFUNCTION("""COMPUTED_VALUE"""),"München")</f>
        <v>München</v>
      </c>
      <c r="E1258" s="7" t="str">
        <f>IFERROR(__xludf.DUMMYFUNCTION("""COMPUTED_VALUE"""),"None")</f>
        <v>None</v>
      </c>
      <c r="F1258" s="7" t="str">
        <f>IFERROR(__xludf.DUMMYFUNCTION("""COMPUTED_VALUE"""),"None")</f>
        <v>None</v>
      </c>
      <c r="G1258" s="7" t="str">
        <f>IFERROR(__xludf.DUMMYFUNCTION("""COMPUTED_VALUE"""),"No salary data")</f>
        <v>No salary data</v>
      </c>
      <c r="H1258" s="7" t="str">
        <f>IFERROR(__xludf.DUMMYFUNCTION("""COMPUTED_VALUE"""),"No salary data")</f>
        <v>No salary data</v>
      </c>
      <c r="I1258" s="7" t="str">
        <f>IFERROR(__xludf.DUMMYFUNCTION("""COMPUTED_VALUE"""),"No salary data")</f>
        <v>No salary data</v>
      </c>
      <c r="J1258" s="7"/>
      <c r="K1258" s="7" t="str">
        <f>IFERROR(__xludf.DUMMYFUNCTION("""COMPUTED_VALUE"""),"No job type data")</f>
        <v>No job type data</v>
      </c>
      <c r="L1258" s="7" t="str">
        <f>IFERROR(__xludf.DUMMYFUNCTION("""COMPUTED_VALUE"""),"None")</f>
        <v>None</v>
      </c>
      <c r="M1258" s="7"/>
      <c r="N1258" s="7"/>
      <c r="O1258" s="7"/>
    </row>
    <row r="1259">
      <c r="A1259" s="29">
        <f>IFERROR(__xludf.DUMMYFUNCTION("""COMPUTED_VALUE"""),1255.0)</f>
        <v>1255</v>
      </c>
      <c r="B1259" s="7" t="str">
        <f>IFERROR(__xludf.DUMMYFUNCTION("""COMPUTED_VALUE"""),"vor 6 Tagen")</f>
        <v>vor 6 Tagen</v>
      </c>
      <c r="C1259" s="7" t="str">
        <f>IFERROR(__xludf.DUMMYFUNCTION("""COMPUTED_VALUE"""),"Global Team Leader - Marketing Strategy")</f>
        <v>Global Team Leader - Marketing Strategy</v>
      </c>
      <c r="D1259" s="7" t="str">
        <f>IFERROR(__xludf.DUMMYFUNCTION("""COMPUTED_VALUE"""),"Deutschland")</f>
        <v>Deutschland</v>
      </c>
      <c r="E1259" s="7" t="str">
        <f>IFERROR(__xludf.DUMMYFUNCTION("""COMPUTED_VALUE"""),"Haybury")</f>
        <v>Haybury</v>
      </c>
      <c r="F1259" s="7" t="str">
        <f>IFERROR(__xludf.DUMMYFUNCTION("""COMPUTED_VALUE"""),"None")</f>
        <v>None</v>
      </c>
      <c r="G1259" s="7" t="str">
        <f>IFERROR(__xludf.DUMMYFUNCTION("""COMPUTED_VALUE"""),"No salary data")</f>
        <v>No salary data</v>
      </c>
      <c r="H1259" s="7" t="str">
        <f>IFERROR(__xludf.DUMMYFUNCTION("""COMPUTED_VALUE"""),"No salary data")</f>
        <v>No salary data</v>
      </c>
      <c r="I1259" s="7" t="str">
        <f>IFERROR(__xludf.DUMMYFUNCTION("""COMPUTED_VALUE"""),"No salary data")</f>
        <v>No salary data</v>
      </c>
      <c r="J1259" s="7" t="str">
        <f>IFERROR(__xludf.DUMMYFUNCTION("""COMPUTED_VALUE"""),"Excel, Git")</f>
        <v>Excel, Git</v>
      </c>
      <c r="K1259" s="7" t="str">
        <f>IFERROR(__xludf.DUMMYFUNCTION("""COMPUTED_VALUE"""),"No job type data")</f>
        <v>No job type data</v>
      </c>
      <c r="L1259" s="7" t="str">
        <f>IFERROR(__xludf.DUMMYFUNCTION("""COMPUTED_VALUE"""),"None")</f>
        <v>None</v>
      </c>
      <c r="M1259" s="7"/>
      <c r="N1259" s="7"/>
      <c r="O1259" s="7"/>
    </row>
    <row r="1260">
      <c r="A1260" s="29">
        <f>IFERROR(__xludf.DUMMYFUNCTION("""COMPUTED_VALUE"""),1256.0)</f>
        <v>1256</v>
      </c>
      <c r="B1260" s="7" t="str">
        <f>IFERROR(__xludf.DUMMYFUNCTION("""COMPUTED_VALUE"""),"Vor mehr als 30 Tagen")</f>
        <v>Vor mehr als 30 Tagen</v>
      </c>
      <c r="C1260" s="7" t="str">
        <f>IFERROR(__xludf.DUMMYFUNCTION("""COMPUTED_VALUE"""),"Für Freelancer: Elasticsearch Experte (m/w/d)")</f>
        <v>Für Freelancer: Elasticsearch Experte (m/w/d)</v>
      </c>
      <c r="D1260" s="7" t="str">
        <f>IFERROR(__xludf.DUMMYFUNCTION("""COMPUTED_VALUE"""),"Bayern")</f>
        <v>Bayern</v>
      </c>
      <c r="E1260" s="7" t="str">
        <f>IFERROR(__xludf.DUMMYFUNCTION("""COMPUTED_VALUE"""),"None")</f>
        <v>None</v>
      </c>
      <c r="F1260" s="7" t="str">
        <f>IFERROR(__xludf.DUMMYFUNCTION("""COMPUTED_VALUE"""),"None")</f>
        <v>None</v>
      </c>
      <c r="G1260" s="7" t="str">
        <f>IFERROR(__xludf.DUMMYFUNCTION("""COMPUTED_VALUE"""),"No salary data")</f>
        <v>No salary data</v>
      </c>
      <c r="H1260" s="7" t="str">
        <f>IFERROR(__xludf.DUMMYFUNCTION("""COMPUTED_VALUE"""),"No salary data")</f>
        <v>No salary data</v>
      </c>
      <c r="I1260" s="7" t="str">
        <f>IFERROR(__xludf.DUMMYFUNCTION("""COMPUTED_VALUE"""),"No salary data")</f>
        <v>No salary data</v>
      </c>
      <c r="J1260" s="7" t="str">
        <f>IFERROR(__xludf.DUMMYFUNCTION("""COMPUTED_VALUE"""),"Python, Git, Linux")</f>
        <v>Python, Git, Linux</v>
      </c>
      <c r="K1260" s="7" t="str">
        <f>IFERROR(__xludf.DUMMYFUNCTION("""COMPUTED_VALUE"""),"No job type data")</f>
        <v>No job type data</v>
      </c>
      <c r="L1260" s="7" t="str">
        <f>IFERROR(__xludf.DUMMYFUNCTION("""COMPUTED_VALUE"""),"None")</f>
        <v>None</v>
      </c>
      <c r="M1260" s="7"/>
      <c r="N1260" s="7"/>
      <c r="O1260" s="7"/>
    </row>
    <row r="1261">
      <c r="A1261" s="29">
        <f>IFERROR(__xludf.DUMMYFUNCTION("""COMPUTED_VALUE"""),1257.0)</f>
        <v>1257</v>
      </c>
      <c r="B1261" s="7" t="str">
        <f>IFERROR(__xludf.DUMMYFUNCTION("""COMPUTED_VALUE"""),"vor 12 Tagen")</f>
        <v>vor 12 Tagen</v>
      </c>
      <c r="C1261" s="7" t="str">
        <f>IFERROR(__xludf.DUMMYFUNCTION("""COMPUTED_VALUE"""),"Für Freelancer: Project Manager Embargo, PeP and money laund...")</f>
        <v>Für Freelancer: Project Manager Embargo, PeP and money laund...</v>
      </c>
      <c r="D1261" s="7" t="str">
        <f>IFERROR(__xludf.DUMMYFUNCTION("""COMPUTED_VALUE"""),"Westfalen")</f>
        <v>Westfalen</v>
      </c>
      <c r="E1261" s="7" t="str">
        <f>IFERROR(__xludf.DUMMYFUNCTION("""COMPUTED_VALUE"""),"None")</f>
        <v>None</v>
      </c>
      <c r="F1261" s="7" t="str">
        <f>IFERROR(__xludf.DUMMYFUNCTION("""COMPUTED_VALUE"""),"None")</f>
        <v>None</v>
      </c>
      <c r="G1261" s="7" t="str">
        <f>IFERROR(__xludf.DUMMYFUNCTION("""COMPUTED_VALUE"""),"No salary data")</f>
        <v>No salary data</v>
      </c>
      <c r="H1261" s="7" t="str">
        <f>IFERROR(__xludf.DUMMYFUNCTION("""COMPUTED_VALUE"""),"No salary data")</f>
        <v>No salary data</v>
      </c>
      <c r="I1261" s="7" t="str">
        <f>IFERROR(__xludf.DUMMYFUNCTION("""COMPUTED_VALUE"""),"No salary data")</f>
        <v>No salary data</v>
      </c>
      <c r="J1261" s="7" t="str">
        <f>IFERROR(__xludf.DUMMYFUNCTION("""COMPUTED_VALUE"""),"Agile")</f>
        <v>Agile</v>
      </c>
      <c r="K1261" s="7" t="str">
        <f>IFERROR(__xludf.DUMMYFUNCTION("""COMPUTED_VALUE"""),"No job type data")</f>
        <v>No job type data</v>
      </c>
      <c r="L1261" s="7" t="str">
        <f>IFERROR(__xludf.DUMMYFUNCTION("""COMPUTED_VALUE"""),"None")</f>
        <v>None</v>
      </c>
      <c r="M1261" s="7"/>
      <c r="N1261" s="7"/>
      <c r="O1261" s="7"/>
    </row>
    <row r="1262">
      <c r="A1262" s="29">
        <f>IFERROR(__xludf.DUMMYFUNCTION("""COMPUTED_VALUE"""),1258.0)</f>
        <v>1258</v>
      </c>
      <c r="B1262" s="7" t="str">
        <f>IFERROR(__xludf.DUMMYFUNCTION("""COMPUTED_VALUE"""),"Vor mehr als 30 Tagen")</f>
        <v>Vor mehr als 30 Tagen</v>
      </c>
      <c r="C1262" s="7" t="str">
        <f>IFERROR(__xludf.DUMMYFUNCTION("""COMPUTED_VALUE"""),"Für Freelancer: Oracle OBIEE Entwickler (m/w/d )")</f>
        <v>Für Freelancer: Oracle OBIEE Entwickler (m/w/d )</v>
      </c>
      <c r="D1262" s="7" t="str">
        <f>IFERROR(__xludf.DUMMYFUNCTION("""COMPUTED_VALUE"""),"Hamburg")</f>
        <v>Hamburg</v>
      </c>
      <c r="E1262" s="7" t="str">
        <f>IFERROR(__xludf.DUMMYFUNCTION("""COMPUTED_VALUE"""),"None")</f>
        <v>None</v>
      </c>
      <c r="F1262" s="7" t="str">
        <f>IFERROR(__xludf.DUMMYFUNCTION("""COMPUTED_VALUE"""),"None")</f>
        <v>None</v>
      </c>
      <c r="G1262" s="7" t="str">
        <f>IFERROR(__xludf.DUMMYFUNCTION("""COMPUTED_VALUE"""),"No salary data")</f>
        <v>No salary data</v>
      </c>
      <c r="H1262" s="7" t="str">
        <f>IFERROR(__xludf.DUMMYFUNCTION("""COMPUTED_VALUE"""),"No salary data")</f>
        <v>No salary data</v>
      </c>
      <c r="I1262" s="7" t="str">
        <f>IFERROR(__xludf.DUMMYFUNCTION("""COMPUTED_VALUE"""),"No salary data")</f>
        <v>No salary data</v>
      </c>
      <c r="J1262" s="7"/>
      <c r="K1262" s="7" t="str">
        <f>IFERROR(__xludf.DUMMYFUNCTION("""COMPUTED_VALUE"""),"No job type data")</f>
        <v>No job type data</v>
      </c>
      <c r="L1262" s="7" t="str">
        <f>IFERROR(__xludf.DUMMYFUNCTION("""COMPUTED_VALUE"""),"None")</f>
        <v>None</v>
      </c>
      <c r="M1262" s="7"/>
      <c r="N1262" s="7"/>
      <c r="O1262" s="7"/>
    </row>
    <row r="1263">
      <c r="A1263" s="29">
        <f>IFERROR(__xludf.DUMMYFUNCTION("""COMPUTED_VALUE"""),1259.0)</f>
        <v>1259</v>
      </c>
      <c r="B1263" s="7" t="str">
        <f>IFERROR(__xludf.DUMMYFUNCTION("""COMPUTED_VALUE"""),"vor 7 Tagen")</f>
        <v>vor 7 Tagen</v>
      </c>
      <c r="C1263" s="7" t="str">
        <f>IFERROR(__xludf.DUMMYFUNCTION("""COMPUTED_VALUE"""),"Für Freelancer: DevOps Engineer (m/f/d) in Media Industry -...")</f>
        <v>Für Freelancer: DevOps Engineer (m/f/d) in Media Industry -...</v>
      </c>
      <c r="D1263" s="7" t="str">
        <f>IFERROR(__xludf.DUMMYFUNCTION("""COMPUTED_VALUE"""),"München")</f>
        <v>München</v>
      </c>
      <c r="E1263" s="7" t="str">
        <f>IFERROR(__xludf.DUMMYFUNCTION("""COMPUTED_VALUE"""),"None")</f>
        <v>None</v>
      </c>
      <c r="F1263" s="7" t="str">
        <f>IFERROR(__xludf.DUMMYFUNCTION("""COMPUTED_VALUE"""),"None")</f>
        <v>None</v>
      </c>
      <c r="G1263" s="7" t="str">
        <f>IFERROR(__xludf.DUMMYFUNCTION("""COMPUTED_VALUE"""),"No salary data")</f>
        <v>No salary data</v>
      </c>
      <c r="H1263" s="7" t="str">
        <f>IFERROR(__xludf.DUMMYFUNCTION("""COMPUTED_VALUE"""),"No salary data")</f>
        <v>No salary data</v>
      </c>
      <c r="I1263" s="7" t="str">
        <f>IFERROR(__xludf.DUMMYFUNCTION("""COMPUTED_VALUE"""),"No salary data")</f>
        <v>No salary data</v>
      </c>
      <c r="J1263" s="7" t="str">
        <f>IFERROR(__xludf.DUMMYFUNCTION("""COMPUTED_VALUE"""),"Python, Git, Linux")</f>
        <v>Python, Git, Linux</v>
      </c>
      <c r="K1263" s="7" t="str">
        <f>IFERROR(__xludf.DUMMYFUNCTION("""COMPUTED_VALUE"""),"Contract")</f>
        <v>Contract</v>
      </c>
      <c r="L1263" s="7" t="str">
        <f>IFERROR(__xludf.DUMMYFUNCTION("""COMPUTED_VALUE"""),"None")</f>
        <v>None</v>
      </c>
      <c r="M1263" s="7"/>
      <c r="N1263" s="7"/>
      <c r="O1263" s="7"/>
    </row>
    <row r="1264">
      <c r="A1264" s="29">
        <f>IFERROR(__xludf.DUMMYFUNCTION("""COMPUTED_VALUE"""),1260.0)</f>
        <v>1260</v>
      </c>
      <c r="B1264" s="7" t="str">
        <f>IFERROR(__xludf.DUMMYFUNCTION("""COMPUTED_VALUE"""),"vor 19 Tagen")</f>
        <v>vor 19 Tagen</v>
      </c>
      <c r="C1264" s="7" t="str">
        <f>IFERROR(__xludf.DUMMYFUNCTION("""COMPUTED_VALUE"""),"Protein Scientist x 3")</f>
        <v>Protein Scientist x 3</v>
      </c>
      <c r="D1264" s="7" t="str">
        <f>IFERROR(__xludf.DUMMYFUNCTION("""COMPUTED_VALUE"""),"Deutschland")</f>
        <v>Deutschland</v>
      </c>
      <c r="E1264" s="7" t="str">
        <f>IFERROR(__xludf.DUMMYFUNCTION("""COMPUTED_VALUE"""),"NonStop Consulting")</f>
        <v>NonStop Consulting</v>
      </c>
      <c r="F1264" s="7" t="str">
        <f>IFERROR(__xludf.DUMMYFUNCTION("""COMPUTED_VALUE"""),"60,000 € - 90,000 € pro Jahr")</f>
        <v>60,000 € - 90,000 € pro Jahr</v>
      </c>
      <c r="G1264" s="7">
        <f>IFERROR(__xludf.DUMMYFUNCTION("""COMPUTED_VALUE"""),75000.0)</f>
        <v>75000</v>
      </c>
      <c r="H1264" s="7" t="str">
        <f>IFERROR(__xludf.DUMMYFUNCTION("""COMPUTED_VALUE"""),"Jahr")</f>
        <v>Jahr</v>
      </c>
      <c r="I1264" s="7">
        <f>IFERROR(__xludf.DUMMYFUNCTION("""COMPUTED_VALUE"""),75000.0)</f>
        <v>75000</v>
      </c>
      <c r="J1264" s="7"/>
      <c r="K1264" s="7" t="str">
        <f>IFERROR(__xludf.DUMMYFUNCTION("""COMPUTED_VALUE"""),"No job type data")</f>
        <v>No job type data</v>
      </c>
      <c r="L1264" s="7" t="str">
        <f>IFERROR(__xludf.DUMMYFUNCTION("""COMPUTED_VALUE"""),"None")</f>
        <v>None</v>
      </c>
      <c r="M1264" s="7"/>
      <c r="N1264" s="7"/>
      <c r="O1264" s="7"/>
    </row>
    <row r="1265">
      <c r="A1265" s="29">
        <f>IFERROR(__xludf.DUMMYFUNCTION("""COMPUTED_VALUE"""),1261.0)</f>
        <v>1261</v>
      </c>
      <c r="B1265" s="7" t="str">
        <f>IFERROR(__xludf.DUMMYFUNCTION("""COMPUTED_VALUE"""),"Heute")</f>
        <v>Heute</v>
      </c>
      <c r="C1265" s="7" t="str">
        <f>IFERROR(__xludf.DUMMYFUNCTION("""COMPUTED_VALUE"""),"Clinical Research Associate")</f>
        <v>Clinical Research Associate</v>
      </c>
      <c r="D1265" s="7" t="str">
        <f>IFERROR(__xludf.DUMMYFUNCTION("""COMPUTED_VALUE"""),"Deutschland")</f>
        <v>Deutschland</v>
      </c>
      <c r="E1265" s="7" t="str">
        <f>IFERROR(__xludf.DUMMYFUNCTION("""COMPUTED_VALUE"""),"Advanced Clinical")</f>
        <v>Advanced Clinical</v>
      </c>
      <c r="F1265" s="7" t="str">
        <f>IFERROR(__xludf.DUMMYFUNCTION("""COMPUTED_VALUE"""),"None")</f>
        <v>None</v>
      </c>
      <c r="G1265" s="7" t="str">
        <f>IFERROR(__xludf.DUMMYFUNCTION("""COMPUTED_VALUE"""),"No salary data")</f>
        <v>No salary data</v>
      </c>
      <c r="H1265" s="7" t="str">
        <f>IFERROR(__xludf.DUMMYFUNCTION("""COMPUTED_VALUE"""),"No salary data")</f>
        <v>No salary data</v>
      </c>
      <c r="I1265" s="7" t="str">
        <f>IFERROR(__xludf.DUMMYFUNCTION("""COMPUTED_VALUE"""),"No salary data")</f>
        <v>No salary data</v>
      </c>
      <c r="J1265" s="7" t="str">
        <f>IFERROR(__xludf.DUMMYFUNCTION("""COMPUTED_VALUE"""),"Excel")</f>
        <v>Excel</v>
      </c>
      <c r="K1265" s="7" t="str">
        <f>IFERROR(__xludf.DUMMYFUNCTION("""COMPUTED_VALUE"""),"Contract")</f>
        <v>Contract</v>
      </c>
      <c r="L1265" s="7" t="str">
        <f>IFERROR(__xludf.DUMMYFUNCTION("""COMPUTED_VALUE"""),"None")</f>
        <v>None</v>
      </c>
      <c r="M1265" s="7"/>
      <c r="N1265" s="7"/>
      <c r="O1265" s="7"/>
    </row>
    <row r="1266">
      <c r="A1266" s="29">
        <f>IFERROR(__xludf.DUMMYFUNCTION("""COMPUTED_VALUE"""),1262.0)</f>
        <v>1262</v>
      </c>
      <c r="B1266" s="7" t="str">
        <f>IFERROR(__xludf.DUMMYFUNCTION("""COMPUTED_VALUE"""),"vor 16 Tagen")</f>
        <v>vor 16 Tagen</v>
      </c>
      <c r="C1266" s="7" t="str">
        <f>IFERROR(__xludf.DUMMYFUNCTION("""COMPUTED_VALUE"""),"Clinical Research Associate")</f>
        <v>Clinical Research Associate</v>
      </c>
      <c r="D1266" s="7" t="str">
        <f>IFERROR(__xludf.DUMMYFUNCTION("""COMPUTED_VALUE"""),"Deutschland")</f>
        <v>Deutschland</v>
      </c>
      <c r="E1266" s="7" t="str">
        <f>IFERROR(__xludf.DUMMYFUNCTION("""COMPUTED_VALUE"""),"Medella Life")</f>
        <v>Medella Life</v>
      </c>
      <c r="F1266" s="7" t="str">
        <f>IFERROR(__xludf.DUMMYFUNCTION("""COMPUTED_VALUE"""),"65 € pro Stunde")</f>
        <v>65 € pro Stunde</v>
      </c>
      <c r="G1266" s="7">
        <f>IFERROR(__xludf.DUMMYFUNCTION("""COMPUTED_VALUE"""),65.0)</f>
        <v>65</v>
      </c>
      <c r="H1266" s="7" t="str">
        <f>IFERROR(__xludf.DUMMYFUNCTION("""COMPUTED_VALUE"""),"Stunde")</f>
        <v>Stunde</v>
      </c>
      <c r="I1266" s="7">
        <f>IFERROR(__xludf.DUMMYFUNCTION("""COMPUTED_VALUE"""),137280.0)</f>
        <v>137280</v>
      </c>
      <c r="J1266" s="7" t="str">
        <f>IFERROR(__xludf.DUMMYFUNCTION("""COMPUTED_VALUE"""),"Excel")</f>
        <v>Excel</v>
      </c>
      <c r="K1266" s="7" t="str">
        <f>IFERROR(__xludf.DUMMYFUNCTION("""COMPUTED_VALUE"""),"No job type data")</f>
        <v>No job type data</v>
      </c>
      <c r="L1266" s="7" t="str">
        <f>IFERROR(__xludf.DUMMYFUNCTION("""COMPUTED_VALUE"""),"None")</f>
        <v>None</v>
      </c>
      <c r="M1266" s="7"/>
      <c r="N1266" s="7"/>
      <c r="O1266" s="7"/>
    </row>
    <row r="1267">
      <c r="A1267" s="29">
        <f>IFERROR(__xludf.DUMMYFUNCTION("""COMPUTED_VALUE"""),1263.0)</f>
        <v>1263</v>
      </c>
      <c r="B1267" s="7" t="str">
        <f>IFERROR(__xludf.DUMMYFUNCTION("""COMPUTED_VALUE"""),"vor 11 Tagen")</f>
        <v>vor 11 Tagen</v>
      </c>
      <c r="C1267" s="7" t="str">
        <f>IFERROR(__xludf.DUMMYFUNCTION("""COMPUTED_VALUE"""),"STUDY START-UP ASSOCIATE, MUNICH")</f>
        <v>STUDY START-UP ASSOCIATE, MUNICH</v>
      </c>
      <c r="D1267" s="7" t="str">
        <f>IFERROR(__xludf.DUMMYFUNCTION("""COMPUTED_VALUE"""),"Deutschland")</f>
        <v>Deutschland</v>
      </c>
      <c r="E1267" s="7" t="str">
        <f>IFERROR(__xludf.DUMMYFUNCTION("""COMPUTED_VALUE"""),"Covance")</f>
        <v>Covance</v>
      </c>
      <c r="F1267" s="7" t="str">
        <f>IFERROR(__xludf.DUMMYFUNCTION("""COMPUTED_VALUE"""),"None")</f>
        <v>None</v>
      </c>
      <c r="G1267" s="7" t="str">
        <f>IFERROR(__xludf.DUMMYFUNCTION("""COMPUTED_VALUE"""),"No salary data")</f>
        <v>No salary data</v>
      </c>
      <c r="H1267" s="7" t="str">
        <f>IFERROR(__xludf.DUMMYFUNCTION("""COMPUTED_VALUE"""),"No salary data")</f>
        <v>No salary data</v>
      </c>
      <c r="I1267" s="7" t="str">
        <f>IFERROR(__xludf.DUMMYFUNCTION("""COMPUTED_VALUE"""),"No salary data")</f>
        <v>No salary data</v>
      </c>
      <c r="J1267" s="7"/>
      <c r="K1267" s="7" t="str">
        <f>IFERROR(__xludf.DUMMYFUNCTION("""COMPUTED_VALUE"""),"Full Time")</f>
        <v>Full Time</v>
      </c>
      <c r="L1267" s="7" t="str">
        <f>IFERROR(__xludf.DUMMYFUNCTION("""COMPUTED_VALUE"""),"3,2")</f>
        <v>3,2</v>
      </c>
      <c r="M1267" s="7"/>
      <c r="N1267" s="7"/>
      <c r="O1267" s="7"/>
    </row>
    <row r="1268">
      <c r="A1268" s="29">
        <f>IFERROR(__xludf.DUMMYFUNCTION("""COMPUTED_VALUE"""),1264.0)</f>
        <v>1264</v>
      </c>
      <c r="B1268" s="7" t="str">
        <f>IFERROR(__xludf.DUMMYFUNCTION("""COMPUTED_VALUE"""),"Vor mehr als 30 Tagen")</f>
        <v>Vor mehr als 30 Tagen</v>
      </c>
      <c r="C1268" s="7" t="str">
        <f>IFERROR(__xludf.DUMMYFUNCTION("""COMPUTED_VALUE"""),"Für Freelancer: Big Data Engineer (m/w/d) für D-7 gesucht!")</f>
        <v>Für Freelancer: Big Data Engineer (m/w/d) für D-7 gesucht!</v>
      </c>
      <c r="D1268" s="7" t="str">
        <f>IFERROR(__xludf.DUMMYFUNCTION("""COMPUTED_VALUE"""),"Deutschland")</f>
        <v>Deutschland</v>
      </c>
      <c r="E1268" s="7" t="str">
        <f>IFERROR(__xludf.DUMMYFUNCTION("""COMPUTED_VALUE"""),"None")</f>
        <v>None</v>
      </c>
      <c r="F1268" s="7" t="str">
        <f>IFERROR(__xludf.DUMMYFUNCTION("""COMPUTED_VALUE"""),"None")</f>
        <v>None</v>
      </c>
      <c r="G1268" s="7" t="str">
        <f>IFERROR(__xludf.DUMMYFUNCTION("""COMPUTED_VALUE"""),"No salary data")</f>
        <v>No salary data</v>
      </c>
      <c r="H1268" s="7" t="str">
        <f>IFERROR(__xludf.DUMMYFUNCTION("""COMPUTED_VALUE"""),"No salary data")</f>
        <v>No salary data</v>
      </c>
      <c r="I1268" s="7" t="str">
        <f>IFERROR(__xludf.DUMMYFUNCTION("""COMPUTED_VALUE"""),"No salary data")</f>
        <v>No salary data</v>
      </c>
      <c r="J1268" s="7" t="str">
        <f>IFERROR(__xludf.DUMMYFUNCTION("""COMPUTED_VALUE"""),"Statistic")</f>
        <v>Statistic</v>
      </c>
      <c r="K1268" s="7" t="str">
        <f>IFERROR(__xludf.DUMMYFUNCTION("""COMPUTED_VALUE"""),"No job type data")</f>
        <v>No job type data</v>
      </c>
      <c r="L1268" s="7" t="str">
        <f>IFERROR(__xludf.DUMMYFUNCTION("""COMPUTED_VALUE"""),"None")</f>
        <v>None</v>
      </c>
      <c r="M1268" s="7"/>
      <c r="N1268" s="7"/>
      <c r="O1268" s="7"/>
    </row>
    <row r="1269">
      <c r="A1269" s="29">
        <f>IFERROR(__xludf.DUMMYFUNCTION("""COMPUTED_VALUE"""),1265.0)</f>
        <v>1265</v>
      </c>
      <c r="B1269" s="7" t="str">
        <f>IFERROR(__xludf.DUMMYFUNCTION("""COMPUTED_VALUE"""),"Gerade geschaltet")</f>
        <v>Gerade geschaltet</v>
      </c>
      <c r="C1269" s="7" t="str">
        <f>IFERROR(__xludf.DUMMYFUNCTION("""COMPUTED_VALUE"""),"Für Freelancer: Berater SAP ILM (DSGVO) für SAP HCM")</f>
        <v>Für Freelancer: Berater SAP ILM (DSGVO) für SAP HCM</v>
      </c>
      <c r="D1269" s="7" t="str">
        <f>IFERROR(__xludf.DUMMYFUNCTION("""COMPUTED_VALUE"""),"Deutschland")</f>
        <v>Deutschland</v>
      </c>
      <c r="E1269" s="7" t="str">
        <f>IFERROR(__xludf.DUMMYFUNCTION("""COMPUTED_VALUE"""),"None")</f>
        <v>None</v>
      </c>
      <c r="F1269" s="7" t="str">
        <f>IFERROR(__xludf.DUMMYFUNCTION("""COMPUTED_VALUE"""),"None")</f>
        <v>None</v>
      </c>
      <c r="G1269" s="7" t="str">
        <f>IFERROR(__xludf.DUMMYFUNCTION("""COMPUTED_VALUE"""),"No salary data")</f>
        <v>No salary data</v>
      </c>
      <c r="H1269" s="7" t="str">
        <f>IFERROR(__xludf.DUMMYFUNCTION("""COMPUTED_VALUE"""),"No salary data")</f>
        <v>No salary data</v>
      </c>
      <c r="I1269" s="7" t="str">
        <f>IFERROR(__xludf.DUMMYFUNCTION("""COMPUTED_VALUE"""),"No salary data")</f>
        <v>No salary data</v>
      </c>
      <c r="J1269" s="7"/>
      <c r="K1269" s="7" t="str">
        <f>IFERROR(__xludf.DUMMYFUNCTION("""COMPUTED_VALUE"""),"No job type data")</f>
        <v>No job type data</v>
      </c>
      <c r="L1269" s="7" t="str">
        <f>IFERROR(__xludf.DUMMYFUNCTION("""COMPUTED_VALUE"""),"None")</f>
        <v>None</v>
      </c>
      <c r="M1269" s="7"/>
      <c r="N1269" s="7"/>
      <c r="O1269" s="7"/>
    </row>
    <row r="1270">
      <c r="A1270" s="29">
        <f>IFERROR(__xludf.DUMMYFUNCTION("""COMPUTED_VALUE"""),1266.0)</f>
        <v>1266</v>
      </c>
      <c r="B1270" s="7" t="str">
        <f>IFERROR(__xludf.DUMMYFUNCTION("""COMPUTED_VALUE"""),"Gerade geschaltet")</f>
        <v>Gerade geschaltet</v>
      </c>
      <c r="C1270" s="7" t="str">
        <f>IFERROR(__xludf.DUMMYFUNCTION("""COMPUTED_VALUE"""),"Für Freelancer: Interim IT Projekt Manager - Application Man...")</f>
        <v>Für Freelancer: Interim IT Projekt Manager - Application Man...</v>
      </c>
      <c r="D1270" s="7" t="str">
        <f>IFERROR(__xludf.DUMMYFUNCTION("""COMPUTED_VALUE"""),"Köln")</f>
        <v>Köln</v>
      </c>
      <c r="E1270" s="7" t="str">
        <f>IFERROR(__xludf.DUMMYFUNCTION("""COMPUTED_VALUE"""),"None")</f>
        <v>None</v>
      </c>
      <c r="F1270" s="7" t="str">
        <f>IFERROR(__xludf.DUMMYFUNCTION("""COMPUTED_VALUE"""),"None")</f>
        <v>None</v>
      </c>
      <c r="G1270" s="7" t="str">
        <f>IFERROR(__xludf.DUMMYFUNCTION("""COMPUTED_VALUE"""),"No salary data")</f>
        <v>No salary data</v>
      </c>
      <c r="H1270" s="7" t="str">
        <f>IFERROR(__xludf.DUMMYFUNCTION("""COMPUTED_VALUE"""),"No salary data")</f>
        <v>No salary data</v>
      </c>
      <c r="I1270" s="7" t="str">
        <f>IFERROR(__xludf.DUMMYFUNCTION("""COMPUTED_VALUE"""),"No salary data")</f>
        <v>No salary data</v>
      </c>
      <c r="J1270" s="7" t="str">
        <f>IFERROR(__xludf.DUMMYFUNCTION("""COMPUTED_VALUE"""),"SQL")</f>
        <v>SQL</v>
      </c>
      <c r="K1270" s="7" t="str">
        <f>IFERROR(__xludf.DUMMYFUNCTION("""COMPUTED_VALUE"""),"No job type data")</f>
        <v>No job type data</v>
      </c>
      <c r="L1270" s="7" t="str">
        <f>IFERROR(__xludf.DUMMYFUNCTION("""COMPUTED_VALUE"""),"None")</f>
        <v>None</v>
      </c>
      <c r="M1270" s="7"/>
      <c r="N1270" s="7"/>
      <c r="O1270" s="7"/>
    </row>
    <row r="1271">
      <c r="A1271" s="29">
        <f>IFERROR(__xludf.DUMMYFUNCTION("""COMPUTED_VALUE"""),1267.0)</f>
        <v>1267</v>
      </c>
      <c r="B1271" s="7" t="str">
        <f>IFERROR(__xludf.DUMMYFUNCTION("""COMPUTED_VALUE"""),"vor 13 Tagen")</f>
        <v>vor 13 Tagen</v>
      </c>
      <c r="C1271" s="7" t="str">
        <f>IFERROR(__xludf.DUMMYFUNCTION("""COMPUTED_VALUE"""),"Biostatistician (Oncology) (M/F/D)")</f>
        <v>Biostatistician (Oncology) (M/F/D)</v>
      </c>
      <c r="D1271" s="7" t="str">
        <f>IFERROR(__xludf.DUMMYFUNCTION("""COMPUTED_VALUE"""),"Deutschland")</f>
        <v>Deutschland</v>
      </c>
      <c r="E1271" s="7" t="str">
        <f>IFERROR(__xludf.DUMMYFUNCTION("""COMPUTED_VALUE"""),"i-Pharm Consulting")</f>
        <v>i-Pharm Consulting</v>
      </c>
      <c r="F1271" s="7" t="str">
        <f>IFERROR(__xludf.DUMMYFUNCTION("""COMPUTED_VALUE"""),"None")</f>
        <v>None</v>
      </c>
      <c r="G1271" s="7" t="str">
        <f>IFERROR(__xludf.DUMMYFUNCTION("""COMPUTED_VALUE"""),"No salary data")</f>
        <v>No salary data</v>
      </c>
      <c r="H1271" s="7" t="str">
        <f>IFERROR(__xludf.DUMMYFUNCTION("""COMPUTED_VALUE"""),"No salary data")</f>
        <v>No salary data</v>
      </c>
      <c r="I1271" s="7" t="str">
        <f>IFERROR(__xludf.DUMMYFUNCTION("""COMPUTED_VALUE"""),"No salary data")</f>
        <v>No salary data</v>
      </c>
      <c r="J1271" s="7" t="str">
        <f>IFERROR(__xludf.DUMMYFUNCTION("""COMPUTED_VALUE"""),"Statistic")</f>
        <v>Statistic</v>
      </c>
      <c r="K1271" s="7" t="str">
        <f>IFERROR(__xludf.DUMMYFUNCTION("""COMPUTED_VALUE"""),"Contract")</f>
        <v>Contract</v>
      </c>
      <c r="L1271" s="7" t="str">
        <f>IFERROR(__xludf.DUMMYFUNCTION("""COMPUTED_VALUE"""),"None")</f>
        <v>None</v>
      </c>
      <c r="M1271" s="7"/>
      <c r="N1271" s="7"/>
      <c r="O1271" s="7"/>
    </row>
    <row r="1272">
      <c r="A1272" s="29">
        <f>IFERROR(__xludf.DUMMYFUNCTION("""COMPUTED_VALUE"""),1268.0)</f>
        <v>1268</v>
      </c>
      <c r="B1272" s="7" t="str">
        <f>IFERROR(__xludf.DUMMYFUNCTION("""COMPUTED_VALUE"""),"Vor mehr als 30 Tagen")</f>
        <v>Vor mehr als 30 Tagen</v>
      </c>
      <c r="C1272" s="7" t="str">
        <f>IFERROR(__xludf.DUMMYFUNCTION("""COMPUTED_VALUE"""),"Für Freelancer: Interim Manager (m/w/d)- Immobilienfonds &amp; D...")</f>
        <v>Für Freelancer: Interim Manager (m/w/d)- Immobilienfonds &amp; D...</v>
      </c>
      <c r="D1272" s="7" t="str">
        <f>IFERROR(__xludf.DUMMYFUNCTION("""COMPUTED_VALUE"""),"Frankfurt am Main")</f>
        <v>Frankfurt am Main</v>
      </c>
      <c r="E1272" s="7" t="str">
        <f>IFERROR(__xludf.DUMMYFUNCTION("""COMPUTED_VALUE"""),"None")</f>
        <v>None</v>
      </c>
      <c r="F1272" s="7" t="str">
        <f>IFERROR(__xludf.DUMMYFUNCTION("""COMPUTED_VALUE"""),"None")</f>
        <v>None</v>
      </c>
      <c r="G1272" s="7" t="str">
        <f>IFERROR(__xludf.DUMMYFUNCTION("""COMPUTED_VALUE"""),"No salary data")</f>
        <v>No salary data</v>
      </c>
      <c r="H1272" s="7" t="str">
        <f>IFERROR(__xludf.DUMMYFUNCTION("""COMPUTED_VALUE"""),"No salary data")</f>
        <v>No salary data</v>
      </c>
      <c r="I1272" s="7" t="str">
        <f>IFERROR(__xludf.DUMMYFUNCTION("""COMPUTED_VALUE"""),"No salary data")</f>
        <v>No salary data</v>
      </c>
      <c r="J1272" s="7"/>
      <c r="K1272" s="7" t="str">
        <f>IFERROR(__xludf.DUMMYFUNCTION("""COMPUTED_VALUE"""),"No job type data")</f>
        <v>No job type data</v>
      </c>
      <c r="L1272" s="7" t="str">
        <f>IFERROR(__xludf.DUMMYFUNCTION("""COMPUTED_VALUE"""),"None")</f>
        <v>None</v>
      </c>
      <c r="M1272" s="7"/>
      <c r="N1272" s="7"/>
      <c r="O1272" s="7"/>
    </row>
    <row r="1273">
      <c r="A1273" s="29">
        <f>IFERROR(__xludf.DUMMYFUNCTION("""COMPUTED_VALUE"""),1269.0)</f>
        <v>1269</v>
      </c>
      <c r="B1273" s="7" t="str">
        <f>IFERROR(__xludf.DUMMYFUNCTION("""COMPUTED_VALUE"""),"Vor mehr als 30 Tagen")</f>
        <v>Vor mehr als 30 Tagen</v>
      </c>
      <c r="C1273" s="7" t="str">
        <f>IFERROR(__xludf.DUMMYFUNCTION("""COMPUTED_VALUE"""),"Für Freelancer: Technical Lead Datenbank-Replikation (m/w/d)")</f>
        <v>Für Freelancer: Technical Lead Datenbank-Replikation (m/w/d)</v>
      </c>
      <c r="D1273" s="7" t="str">
        <f>IFERROR(__xludf.DUMMYFUNCTION("""COMPUTED_VALUE"""),"Frankfurt am Main")</f>
        <v>Frankfurt am Main</v>
      </c>
      <c r="E1273" s="7" t="str">
        <f>IFERROR(__xludf.DUMMYFUNCTION("""COMPUTED_VALUE"""),"None")</f>
        <v>None</v>
      </c>
      <c r="F1273" s="7" t="str">
        <f>IFERROR(__xludf.DUMMYFUNCTION("""COMPUTED_VALUE"""),"None")</f>
        <v>None</v>
      </c>
      <c r="G1273" s="7" t="str">
        <f>IFERROR(__xludf.DUMMYFUNCTION("""COMPUTED_VALUE"""),"No salary data")</f>
        <v>No salary data</v>
      </c>
      <c r="H1273" s="7" t="str">
        <f>IFERROR(__xludf.DUMMYFUNCTION("""COMPUTED_VALUE"""),"No salary data")</f>
        <v>No salary data</v>
      </c>
      <c r="I1273" s="7" t="str">
        <f>IFERROR(__xludf.DUMMYFUNCTION("""COMPUTED_VALUE"""),"No salary data")</f>
        <v>No salary data</v>
      </c>
      <c r="J1273" s="7" t="str">
        <f>IFERROR(__xludf.DUMMYFUNCTION("""COMPUTED_VALUE"""),"SQL, Agile")</f>
        <v>SQL, Agile</v>
      </c>
      <c r="K1273" s="7" t="str">
        <f>IFERROR(__xludf.DUMMYFUNCTION("""COMPUTED_VALUE"""),"No job type data")</f>
        <v>No job type data</v>
      </c>
      <c r="L1273" s="7" t="str">
        <f>IFERROR(__xludf.DUMMYFUNCTION("""COMPUTED_VALUE"""),"None")</f>
        <v>None</v>
      </c>
      <c r="M1273" s="7"/>
      <c r="N1273" s="7"/>
      <c r="O1273" s="7"/>
    </row>
    <row r="1274">
      <c r="A1274" s="29">
        <f>IFERROR(__xludf.DUMMYFUNCTION("""COMPUTED_VALUE"""),1270.0)</f>
        <v>1270</v>
      </c>
      <c r="B1274" s="7" t="str">
        <f>IFERROR(__xludf.DUMMYFUNCTION("""COMPUTED_VALUE"""),"vor 27 Tagen")</f>
        <v>vor 27 Tagen</v>
      </c>
      <c r="C1274" s="7" t="str">
        <f>IFERROR(__xludf.DUMMYFUNCTION("""COMPUTED_VALUE"""),"Lead Electrical Engineer - Data Center")</f>
        <v>Lead Electrical Engineer - Data Center</v>
      </c>
      <c r="D1274" s="7" t="str">
        <f>IFERROR(__xludf.DUMMYFUNCTION("""COMPUTED_VALUE"""),"Frankfurt am Main")</f>
        <v>Frankfurt am Main</v>
      </c>
      <c r="E1274" s="7" t="str">
        <f>IFERROR(__xludf.DUMMYFUNCTION("""COMPUTED_VALUE"""),"Ashbys Consulting")</f>
        <v>Ashbys Consulting</v>
      </c>
      <c r="F1274" s="7" t="str">
        <f>IFERROR(__xludf.DUMMYFUNCTION("""COMPUTED_VALUE"""),"90,000 € - 110,000 € pro Jahr")</f>
        <v>90,000 € - 110,000 € pro Jahr</v>
      </c>
      <c r="G1274" s="7">
        <f>IFERROR(__xludf.DUMMYFUNCTION("""COMPUTED_VALUE"""),100000.0)</f>
        <v>100000</v>
      </c>
      <c r="H1274" s="7" t="str">
        <f>IFERROR(__xludf.DUMMYFUNCTION("""COMPUTED_VALUE"""),"Jahr")</f>
        <v>Jahr</v>
      </c>
      <c r="I1274" s="7">
        <f>IFERROR(__xludf.DUMMYFUNCTION("""COMPUTED_VALUE"""),100000.0)</f>
        <v>100000</v>
      </c>
      <c r="J1274" s="7" t="str">
        <f>IFERROR(__xludf.DUMMYFUNCTION("""COMPUTED_VALUE"""),"Excel")</f>
        <v>Excel</v>
      </c>
      <c r="K1274" s="7" t="str">
        <f>IFERROR(__xludf.DUMMYFUNCTION("""COMPUTED_VALUE"""),"Contract")</f>
        <v>Contract</v>
      </c>
      <c r="L1274" s="7" t="str">
        <f>IFERROR(__xludf.DUMMYFUNCTION("""COMPUTED_VALUE"""),"None")</f>
        <v>None</v>
      </c>
      <c r="M1274" s="7"/>
      <c r="N1274" s="7"/>
      <c r="O1274" s="7"/>
    </row>
    <row r="1275">
      <c r="A1275" s="29">
        <f>IFERROR(__xludf.DUMMYFUNCTION("""COMPUTED_VALUE"""),1271.0)</f>
        <v>1271</v>
      </c>
      <c r="B1275" s="7" t="str">
        <f>IFERROR(__xludf.DUMMYFUNCTION("""COMPUTED_VALUE"""),"Vor mehr als 30 Tagen")</f>
        <v>Vor mehr als 30 Tagen</v>
      </c>
      <c r="C1275" s="7" t="str">
        <f>IFERROR(__xludf.DUMMYFUNCTION("""COMPUTED_VALUE"""),"MEP Data Centre Design Coordinator")</f>
        <v>MEP Data Centre Design Coordinator</v>
      </c>
      <c r="D1275" s="7" t="str">
        <f>IFERROR(__xludf.DUMMYFUNCTION("""COMPUTED_VALUE"""),"Frankfurt am Main")</f>
        <v>Frankfurt am Main</v>
      </c>
      <c r="E1275" s="7" t="str">
        <f>IFERROR(__xludf.DUMMYFUNCTION("""COMPUTED_VALUE"""),"Ashbys Consulting")</f>
        <v>Ashbys Consulting</v>
      </c>
      <c r="F1275" s="7" t="str">
        <f>IFERROR(__xludf.DUMMYFUNCTION("""COMPUTED_VALUE"""),"100,000 € - 120,000 € pro Jahr")</f>
        <v>100,000 € - 120,000 € pro Jahr</v>
      </c>
      <c r="G1275" s="7">
        <f>IFERROR(__xludf.DUMMYFUNCTION("""COMPUTED_VALUE"""),110000.0)</f>
        <v>110000</v>
      </c>
      <c r="H1275" s="7" t="str">
        <f>IFERROR(__xludf.DUMMYFUNCTION("""COMPUTED_VALUE"""),"Jahr")</f>
        <v>Jahr</v>
      </c>
      <c r="I1275" s="7">
        <f>IFERROR(__xludf.DUMMYFUNCTION("""COMPUTED_VALUE"""),110000.0)</f>
        <v>110000</v>
      </c>
      <c r="J1275" s="7" t="str">
        <f>IFERROR(__xludf.DUMMYFUNCTION("""COMPUTED_VALUE"""),"Excel")</f>
        <v>Excel</v>
      </c>
      <c r="K1275" s="7" t="str">
        <f>IFERROR(__xludf.DUMMYFUNCTION("""COMPUTED_VALUE"""),"Permanent")</f>
        <v>Permanent</v>
      </c>
      <c r="L1275" s="7" t="str">
        <f>IFERROR(__xludf.DUMMYFUNCTION("""COMPUTED_VALUE"""),"None")</f>
        <v>None</v>
      </c>
      <c r="M1275" s="7"/>
      <c r="N1275" s="7"/>
      <c r="O1275" s="7"/>
    </row>
    <row r="1276">
      <c r="A1276" s="29">
        <f>IFERROR(__xludf.DUMMYFUNCTION("""COMPUTED_VALUE"""),1272.0)</f>
        <v>1272</v>
      </c>
      <c r="B1276" s="7" t="str">
        <f>IFERROR(__xludf.DUMMYFUNCTION("""COMPUTED_VALUE"""),"vor 10 Tagen")</f>
        <v>vor 10 Tagen</v>
      </c>
      <c r="C1276" s="7" t="str">
        <f>IFERROR(__xludf.DUMMYFUNCTION("""COMPUTED_VALUE"""),"Für Freelancer: Web-Researcher gesucht")</f>
        <v>Für Freelancer: Web-Researcher gesucht</v>
      </c>
      <c r="D1276" s="7" t="str">
        <f>IFERROR(__xludf.DUMMYFUNCTION("""COMPUTED_VALUE"""),"Bretten")</f>
        <v>Bretten</v>
      </c>
      <c r="E1276" s="7" t="str">
        <f>IFERROR(__xludf.DUMMYFUNCTION("""COMPUTED_VALUE"""),"None")</f>
        <v>None</v>
      </c>
      <c r="F1276" s="7" t="str">
        <f>IFERROR(__xludf.DUMMYFUNCTION("""COMPUTED_VALUE"""),"None")</f>
        <v>None</v>
      </c>
      <c r="G1276" s="7" t="str">
        <f>IFERROR(__xludf.DUMMYFUNCTION("""COMPUTED_VALUE"""),"No salary data")</f>
        <v>No salary data</v>
      </c>
      <c r="H1276" s="7" t="str">
        <f>IFERROR(__xludf.DUMMYFUNCTION("""COMPUTED_VALUE"""),"No salary data")</f>
        <v>No salary data</v>
      </c>
      <c r="I1276" s="7" t="str">
        <f>IFERROR(__xludf.DUMMYFUNCTION("""COMPUTED_VALUE"""),"No salary data")</f>
        <v>No salary data</v>
      </c>
      <c r="J1276" s="7"/>
      <c r="K1276" s="7" t="str">
        <f>IFERROR(__xludf.DUMMYFUNCTION("""COMPUTED_VALUE"""),"No job type data")</f>
        <v>No job type data</v>
      </c>
      <c r="L1276" s="7" t="str">
        <f>IFERROR(__xludf.DUMMYFUNCTION("""COMPUTED_VALUE"""),"None")</f>
        <v>None</v>
      </c>
      <c r="M1276" s="7"/>
      <c r="N1276" s="7"/>
      <c r="O1276" s="7"/>
    </row>
    <row r="1277">
      <c r="A1277" s="29">
        <f>IFERROR(__xludf.DUMMYFUNCTION("""COMPUTED_VALUE"""),1273.0)</f>
        <v>1273</v>
      </c>
      <c r="B1277" s="7" t="str">
        <f>IFERROR(__xludf.DUMMYFUNCTION("""COMPUTED_VALUE"""),"Vor mehr als 30 Tagen")</f>
        <v>Vor mehr als 30 Tagen</v>
      </c>
      <c r="C1277" s="7" t="str">
        <f>IFERROR(__xludf.DUMMYFUNCTION("""COMPUTED_VALUE"""),"Für Freelancer: AWS Developer - 100% remote till December -...")</f>
        <v>Für Freelancer: AWS Developer - 100% remote till December -...</v>
      </c>
      <c r="D1277" s="7" t="str">
        <f>IFERROR(__xludf.DUMMYFUNCTION("""COMPUTED_VALUE"""),"Karlsruhe")</f>
        <v>Karlsruhe</v>
      </c>
      <c r="E1277" s="7" t="str">
        <f>IFERROR(__xludf.DUMMYFUNCTION("""COMPUTED_VALUE"""),"None")</f>
        <v>None</v>
      </c>
      <c r="F1277" s="7" t="str">
        <f>IFERROR(__xludf.DUMMYFUNCTION("""COMPUTED_VALUE"""),"None")</f>
        <v>None</v>
      </c>
      <c r="G1277" s="7" t="str">
        <f>IFERROR(__xludf.DUMMYFUNCTION("""COMPUTED_VALUE"""),"No salary data")</f>
        <v>No salary data</v>
      </c>
      <c r="H1277" s="7" t="str">
        <f>IFERROR(__xludf.DUMMYFUNCTION("""COMPUTED_VALUE"""),"No salary data")</f>
        <v>No salary data</v>
      </c>
      <c r="I1277" s="7" t="str">
        <f>IFERROR(__xludf.DUMMYFUNCTION("""COMPUTED_VALUE"""),"No salary data")</f>
        <v>No salary data</v>
      </c>
      <c r="J1277" s="7" t="str">
        <f>IFERROR(__xludf.DUMMYFUNCTION("""COMPUTED_VALUE"""),"Agile")</f>
        <v>Agile</v>
      </c>
      <c r="K1277" s="7" t="str">
        <f>IFERROR(__xludf.DUMMYFUNCTION("""COMPUTED_VALUE"""),"No job type data")</f>
        <v>No job type data</v>
      </c>
      <c r="L1277" s="7" t="str">
        <f>IFERROR(__xludf.DUMMYFUNCTION("""COMPUTED_VALUE"""),"None")</f>
        <v>None</v>
      </c>
      <c r="M1277" s="7"/>
      <c r="N1277" s="7"/>
      <c r="O1277" s="7"/>
    </row>
    <row r="1278">
      <c r="A1278" s="29">
        <f>IFERROR(__xludf.DUMMYFUNCTION("""COMPUTED_VALUE"""),1274.0)</f>
        <v>1274</v>
      </c>
      <c r="B1278" s="7" t="str">
        <f>IFERROR(__xludf.DUMMYFUNCTION("""COMPUTED_VALUE"""),"Vor mehr als 30 Tagen")</f>
        <v>Vor mehr als 30 Tagen</v>
      </c>
      <c r="C1278" s="7" t="str">
        <f>IFERROR(__xludf.DUMMYFUNCTION("""COMPUTED_VALUE"""),"Reporting Specialist (m/w/d)")</f>
        <v>Reporting Specialist (m/w/d)</v>
      </c>
      <c r="D1278" s="7" t="str">
        <f>IFERROR(__xludf.DUMMYFUNCTION("""COMPUTED_VALUE"""),"Düsseldorf")</f>
        <v>Düsseldorf</v>
      </c>
      <c r="E1278" s="7" t="str">
        <f>IFERROR(__xludf.DUMMYFUNCTION("""COMPUTED_VALUE"""),"Yusen Logistics (Deutschland) GmbH")</f>
        <v>Yusen Logistics (Deutschland) GmbH</v>
      </c>
      <c r="F1278" s="7" t="str">
        <f>IFERROR(__xludf.DUMMYFUNCTION("""COMPUTED_VALUE"""),"None")</f>
        <v>None</v>
      </c>
      <c r="G1278" s="7" t="str">
        <f>IFERROR(__xludf.DUMMYFUNCTION("""COMPUTED_VALUE"""),"No salary data")</f>
        <v>No salary data</v>
      </c>
      <c r="H1278" s="7" t="str">
        <f>IFERROR(__xludf.DUMMYFUNCTION("""COMPUTED_VALUE"""),"No salary data")</f>
        <v>No salary data</v>
      </c>
      <c r="I1278" s="7" t="str">
        <f>IFERROR(__xludf.DUMMYFUNCTION("""COMPUTED_VALUE"""),"No salary data")</f>
        <v>No salary data</v>
      </c>
      <c r="J1278" s="7" t="str">
        <f>IFERROR(__xludf.DUMMYFUNCTION("""COMPUTED_VALUE"""),"Excel")</f>
        <v>Excel</v>
      </c>
      <c r="K1278" s="7" t="str">
        <f>IFERROR(__xludf.DUMMYFUNCTION("""COMPUTED_VALUE"""),"No job type data")</f>
        <v>No job type data</v>
      </c>
      <c r="L1278" s="7" t="str">
        <f>IFERROR(__xludf.DUMMYFUNCTION("""COMPUTED_VALUE"""),"3,3")</f>
        <v>3,3</v>
      </c>
      <c r="M1278" s="7"/>
      <c r="N1278" s="7"/>
      <c r="O1278" s="7"/>
    </row>
    <row r="1279">
      <c r="A1279" s="29">
        <f>IFERROR(__xludf.DUMMYFUNCTION("""COMPUTED_VALUE"""),1275.0)</f>
        <v>1275</v>
      </c>
      <c r="B1279" s="7" t="str">
        <f>IFERROR(__xludf.DUMMYFUNCTION("""COMPUTED_VALUE"""),"vor 19 Tagen")</f>
        <v>vor 19 Tagen</v>
      </c>
      <c r="C1279" s="7" t="str">
        <f>IFERROR(__xludf.DUMMYFUNCTION("""COMPUTED_VALUE"""),"Für Freelancer: Splunk/Tabelau")</f>
        <v>Für Freelancer: Splunk/Tabelau</v>
      </c>
      <c r="D1279" s="7" t="str">
        <f>IFERROR(__xludf.DUMMYFUNCTION("""COMPUTED_VALUE"""),"Frankfurt am Main")</f>
        <v>Frankfurt am Main</v>
      </c>
      <c r="E1279" s="7" t="str">
        <f>IFERROR(__xludf.DUMMYFUNCTION("""COMPUTED_VALUE"""),"None")</f>
        <v>None</v>
      </c>
      <c r="F1279" s="7" t="str">
        <f>IFERROR(__xludf.DUMMYFUNCTION("""COMPUTED_VALUE"""),"None")</f>
        <v>None</v>
      </c>
      <c r="G1279" s="7" t="str">
        <f>IFERROR(__xludf.DUMMYFUNCTION("""COMPUTED_VALUE"""),"No salary data")</f>
        <v>No salary data</v>
      </c>
      <c r="H1279" s="7" t="str">
        <f>IFERROR(__xludf.DUMMYFUNCTION("""COMPUTED_VALUE"""),"No salary data")</f>
        <v>No salary data</v>
      </c>
      <c r="I1279" s="7" t="str">
        <f>IFERROR(__xludf.DUMMYFUNCTION("""COMPUTED_VALUE"""),"No salary data")</f>
        <v>No salary data</v>
      </c>
      <c r="J1279" s="7" t="str">
        <f>IFERROR(__xludf.DUMMYFUNCTION("""COMPUTED_VALUE"""),"Tableau")</f>
        <v>Tableau</v>
      </c>
      <c r="K1279" s="7" t="str">
        <f>IFERROR(__xludf.DUMMYFUNCTION("""COMPUTED_VALUE"""),"No job type data")</f>
        <v>No job type data</v>
      </c>
      <c r="L1279" s="7" t="str">
        <f>IFERROR(__xludf.DUMMYFUNCTION("""COMPUTED_VALUE"""),"None")</f>
        <v>None</v>
      </c>
      <c r="M1279" s="7"/>
      <c r="N1279" s="7"/>
      <c r="O1279" s="7"/>
    </row>
    <row r="1280">
      <c r="A1280" s="29">
        <f>IFERROR(__xludf.DUMMYFUNCTION("""COMPUTED_VALUE"""),1276.0)</f>
        <v>1276</v>
      </c>
      <c r="B1280" s="7" t="str">
        <f>IFERROR(__xludf.DUMMYFUNCTION("""COMPUTED_VALUE"""),"vor 2 Tagen")</f>
        <v>vor 2 Tagen</v>
      </c>
      <c r="C1280" s="7" t="str">
        <f>IFERROR(__xludf.DUMMYFUNCTION("""COMPUTED_VALUE"""),"Operator Formulation Development")</f>
        <v>Operator Formulation Development</v>
      </c>
      <c r="D1280" s="7" t="str">
        <f>IFERROR(__xludf.DUMMYFUNCTION("""COMPUTED_VALUE"""),"Deutschland")</f>
        <v>Deutschland</v>
      </c>
      <c r="E1280" s="7" t="str">
        <f>IFERROR(__xludf.DUMMYFUNCTION("""COMPUTED_VALUE"""),"NonStop Consulting")</f>
        <v>NonStop Consulting</v>
      </c>
      <c r="F1280" s="7" t="str">
        <f>IFERROR(__xludf.DUMMYFUNCTION("""COMPUTED_VALUE"""),"None")</f>
        <v>None</v>
      </c>
      <c r="G1280" s="7" t="str">
        <f>IFERROR(__xludf.DUMMYFUNCTION("""COMPUTED_VALUE"""),"No salary data")</f>
        <v>No salary data</v>
      </c>
      <c r="H1280" s="7" t="str">
        <f>IFERROR(__xludf.DUMMYFUNCTION("""COMPUTED_VALUE"""),"No salary data")</f>
        <v>No salary data</v>
      </c>
      <c r="I1280" s="7" t="str">
        <f>IFERROR(__xludf.DUMMYFUNCTION("""COMPUTED_VALUE"""),"No salary data")</f>
        <v>No salary data</v>
      </c>
      <c r="J1280" s="7"/>
      <c r="K1280" s="7" t="str">
        <f>IFERROR(__xludf.DUMMYFUNCTION("""COMPUTED_VALUE"""),"Apprenticeship")</f>
        <v>Apprenticeship</v>
      </c>
      <c r="L1280" s="7" t="str">
        <f>IFERROR(__xludf.DUMMYFUNCTION("""COMPUTED_VALUE"""),"None")</f>
        <v>None</v>
      </c>
      <c r="M1280" s="7"/>
      <c r="N1280" s="7"/>
      <c r="O1280" s="7"/>
    </row>
    <row r="1281">
      <c r="A1281" s="29">
        <f>IFERROR(__xludf.DUMMYFUNCTION("""COMPUTED_VALUE"""),1277.0)</f>
        <v>1277</v>
      </c>
      <c r="B1281" s="7" t="str">
        <f>IFERROR(__xludf.DUMMYFUNCTION("""COMPUTED_VALUE"""),"Vor mehr als 30 Tagen")</f>
        <v>Vor mehr als 30 Tagen</v>
      </c>
      <c r="C1281" s="7" t="str">
        <f>IFERROR(__xludf.DUMMYFUNCTION("""COMPUTED_VALUE"""),"MEP Data Centre Design Coordinator")</f>
        <v>MEP Data Centre Design Coordinator</v>
      </c>
      <c r="D1281" s="7" t="str">
        <f>IFERROR(__xludf.DUMMYFUNCTION("""COMPUTED_VALUE"""),"Frankfurt am Main")</f>
        <v>Frankfurt am Main</v>
      </c>
      <c r="E1281" s="7" t="str">
        <f>IFERROR(__xludf.DUMMYFUNCTION("""COMPUTED_VALUE"""),"Ashbys Consulting")</f>
        <v>Ashbys Consulting</v>
      </c>
      <c r="F1281" s="7" t="str">
        <f>IFERROR(__xludf.DUMMYFUNCTION("""COMPUTED_VALUE"""),"100,000 € - 120,000 € pro Jahr")</f>
        <v>100,000 € - 120,000 € pro Jahr</v>
      </c>
      <c r="G1281" s="7">
        <f>IFERROR(__xludf.DUMMYFUNCTION("""COMPUTED_VALUE"""),110000.0)</f>
        <v>110000</v>
      </c>
      <c r="H1281" s="7" t="str">
        <f>IFERROR(__xludf.DUMMYFUNCTION("""COMPUTED_VALUE"""),"Jahr")</f>
        <v>Jahr</v>
      </c>
      <c r="I1281" s="7">
        <f>IFERROR(__xludf.DUMMYFUNCTION("""COMPUTED_VALUE"""),110000.0)</f>
        <v>110000</v>
      </c>
      <c r="J1281" s="7" t="str">
        <f>IFERROR(__xludf.DUMMYFUNCTION("""COMPUTED_VALUE"""),"Excel")</f>
        <v>Excel</v>
      </c>
      <c r="K1281" s="7" t="str">
        <f>IFERROR(__xludf.DUMMYFUNCTION("""COMPUTED_VALUE"""),"Permanent")</f>
        <v>Permanent</v>
      </c>
      <c r="L1281" s="7" t="str">
        <f>IFERROR(__xludf.DUMMYFUNCTION("""COMPUTED_VALUE"""),"None")</f>
        <v>None</v>
      </c>
      <c r="M1281" s="7"/>
      <c r="N1281" s="7"/>
      <c r="O1281" s="7"/>
    </row>
    <row r="1282">
      <c r="A1282" s="29">
        <f>IFERROR(__xludf.DUMMYFUNCTION("""COMPUTED_VALUE"""),1278.0)</f>
        <v>1278</v>
      </c>
      <c r="B1282" s="7" t="str">
        <f>IFERROR(__xludf.DUMMYFUNCTION("""COMPUTED_VALUE"""),"Vor mehr als 30 Tagen")</f>
        <v>Vor mehr als 30 Tagen</v>
      </c>
      <c r="C1282" s="7" t="str">
        <f>IFERROR(__xludf.DUMMYFUNCTION("""COMPUTED_VALUE"""),"Für Freelancer: BI-Spezialist (m/w/d)")</f>
        <v>Für Freelancer: BI-Spezialist (m/w/d)</v>
      </c>
      <c r="D1282" s="7" t="str">
        <f>IFERROR(__xludf.DUMMYFUNCTION("""COMPUTED_VALUE"""),"Baden-Württemberg")</f>
        <v>Baden-Württemberg</v>
      </c>
      <c r="E1282" s="7" t="str">
        <f>IFERROR(__xludf.DUMMYFUNCTION("""COMPUTED_VALUE"""),"None")</f>
        <v>None</v>
      </c>
      <c r="F1282" s="7" t="str">
        <f>IFERROR(__xludf.DUMMYFUNCTION("""COMPUTED_VALUE"""),"None")</f>
        <v>None</v>
      </c>
      <c r="G1282" s="7" t="str">
        <f>IFERROR(__xludf.DUMMYFUNCTION("""COMPUTED_VALUE"""),"No salary data")</f>
        <v>No salary data</v>
      </c>
      <c r="H1282" s="7" t="str">
        <f>IFERROR(__xludf.DUMMYFUNCTION("""COMPUTED_VALUE"""),"No salary data")</f>
        <v>No salary data</v>
      </c>
      <c r="I1282" s="7" t="str">
        <f>IFERROR(__xludf.DUMMYFUNCTION("""COMPUTED_VALUE"""),"No salary data")</f>
        <v>No salary data</v>
      </c>
      <c r="J1282" s="7"/>
      <c r="K1282" s="7" t="str">
        <f>IFERROR(__xludf.DUMMYFUNCTION("""COMPUTED_VALUE"""),"No job type data")</f>
        <v>No job type data</v>
      </c>
      <c r="L1282" s="7" t="str">
        <f>IFERROR(__xludf.DUMMYFUNCTION("""COMPUTED_VALUE"""),"None")</f>
        <v>None</v>
      </c>
      <c r="M1282" s="7"/>
      <c r="N1282" s="7"/>
      <c r="O1282" s="7"/>
    </row>
    <row r="1283">
      <c r="A1283" s="29">
        <f>IFERROR(__xludf.DUMMYFUNCTION("""COMPUTED_VALUE"""),1279.0)</f>
        <v>1279</v>
      </c>
      <c r="B1283" s="7" t="str">
        <f>IFERROR(__xludf.DUMMYFUNCTION("""COMPUTED_VALUE"""),"vor 19 Tagen")</f>
        <v>vor 19 Tagen</v>
      </c>
      <c r="C1283" s="7" t="str">
        <f>IFERROR(__xludf.DUMMYFUNCTION("""COMPUTED_VALUE"""),"Für Freelancer: Testmanager mit Banken Erfahrung")</f>
        <v>Für Freelancer: Testmanager mit Banken Erfahrung</v>
      </c>
      <c r="D1283" s="7" t="str">
        <f>IFERROR(__xludf.DUMMYFUNCTION("""COMPUTED_VALUE"""),"Nordrhein-Westfalen")</f>
        <v>Nordrhein-Westfalen</v>
      </c>
      <c r="E1283" s="7" t="str">
        <f>IFERROR(__xludf.DUMMYFUNCTION("""COMPUTED_VALUE"""),"None")</f>
        <v>None</v>
      </c>
      <c r="F1283" s="7" t="str">
        <f>IFERROR(__xludf.DUMMYFUNCTION("""COMPUTED_VALUE"""),"None")</f>
        <v>None</v>
      </c>
      <c r="G1283" s="7" t="str">
        <f>IFERROR(__xludf.DUMMYFUNCTION("""COMPUTED_VALUE"""),"No salary data")</f>
        <v>No salary data</v>
      </c>
      <c r="H1283" s="7" t="str">
        <f>IFERROR(__xludf.DUMMYFUNCTION("""COMPUTED_VALUE"""),"No salary data")</f>
        <v>No salary data</v>
      </c>
      <c r="I1283" s="7" t="str">
        <f>IFERROR(__xludf.DUMMYFUNCTION("""COMPUTED_VALUE"""),"No salary data")</f>
        <v>No salary data</v>
      </c>
      <c r="J1283" s="7"/>
      <c r="K1283" s="7" t="str">
        <f>IFERROR(__xludf.DUMMYFUNCTION("""COMPUTED_VALUE"""),"No job type data")</f>
        <v>No job type data</v>
      </c>
      <c r="L1283" s="7" t="str">
        <f>IFERROR(__xludf.DUMMYFUNCTION("""COMPUTED_VALUE"""),"None")</f>
        <v>None</v>
      </c>
      <c r="M1283" s="7"/>
      <c r="N1283" s="7"/>
      <c r="O1283" s="7"/>
    </row>
    <row r="1284">
      <c r="A1284" s="29">
        <f>IFERROR(__xludf.DUMMYFUNCTION("""COMPUTED_VALUE"""),1280.0)</f>
        <v>1280</v>
      </c>
      <c r="B1284" s="7" t="str">
        <f>IFERROR(__xludf.DUMMYFUNCTION("""COMPUTED_VALUE"""),"vor 16 Tagen")</f>
        <v>vor 16 Tagen</v>
      </c>
      <c r="C1284" s="7" t="str">
        <f>IFERROR(__xludf.DUMMYFUNCTION("""COMPUTED_VALUE"""),"Clinical Coordinator")</f>
        <v>Clinical Coordinator</v>
      </c>
      <c r="D1284" s="7" t="str">
        <f>IFERROR(__xludf.DUMMYFUNCTION("""COMPUTED_VALUE"""),"Deutschland")</f>
        <v>Deutschland</v>
      </c>
      <c r="E1284" s="7" t="str">
        <f>IFERROR(__xludf.DUMMYFUNCTION("""COMPUTED_VALUE"""),"Medella Life")</f>
        <v>Medella Life</v>
      </c>
      <c r="F1284" s="7" t="str">
        <f>IFERROR(__xludf.DUMMYFUNCTION("""COMPUTED_VALUE"""),"60,000 € pro Jahr")</f>
        <v>60,000 € pro Jahr</v>
      </c>
      <c r="G1284" s="7">
        <f>IFERROR(__xludf.DUMMYFUNCTION("""COMPUTED_VALUE"""),60000.0)</f>
        <v>60000</v>
      </c>
      <c r="H1284" s="7" t="str">
        <f>IFERROR(__xludf.DUMMYFUNCTION("""COMPUTED_VALUE"""),"Jahr")</f>
        <v>Jahr</v>
      </c>
      <c r="I1284" s="7">
        <f>IFERROR(__xludf.DUMMYFUNCTION("""COMPUTED_VALUE"""),60000.0)</f>
        <v>60000</v>
      </c>
      <c r="J1284" s="7" t="str">
        <f>IFERROR(__xludf.DUMMYFUNCTION("""COMPUTED_VALUE"""),"Excel")</f>
        <v>Excel</v>
      </c>
      <c r="K1284" s="7" t="str">
        <f>IFERROR(__xludf.DUMMYFUNCTION("""COMPUTED_VALUE"""),"Contract")</f>
        <v>Contract</v>
      </c>
      <c r="L1284" s="7" t="str">
        <f>IFERROR(__xludf.DUMMYFUNCTION("""COMPUTED_VALUE"""),"None")</f>
        <v>None</v>
      </c>
      <c r="M1284" s="7"/>
      <c r="N1284" s="7"/>
      <c r="O1284" s="7"/>
    </row>
    <row r="1285">
      <c r="A1285" s="29">
        <f>IFERROR(__xludf.DUMMYFUNCTION("""COMPUTED_VALUE"""),1281.0)</f>
        <v>1281</v>
      </c>
      <c r="B1285" s="7" t="str">
        <f>IFERROR(__xludf.DUMMYFUNCTION("""COMPUTED_VALUE"""),"Vor mehr als 30 Tagen")</f>
        <v>Vor mehr als 30 Tagen</v>
      </c>
      <c r="C1285" s="7" t="str">
        <f>IFERROR(__xludf.DUMMYFUNCTION("""COMPUTED_VALUE"""),"Für Freelancer: Berlin: Java Entwickler gesucht")</f>
        <v>Für Freelancer: Berlin: Java Entwickler gesucht</v>
      </c>
      <c r="D1285" s="7" t="str">
        <f>IFERROR(__xludf.DUMMYFUNCTION("""COMPUTED_VALUE"""),"Berlin-Mitte")</f>
        <v>Berlin-Mitte</v>
      </c>
      <c r="E1285" s="7" t="str">
        <f>IFERROR(__xludf.DUMMYFUNCTION("""COMPUTED_VALUE"""),"None")</f>
        <v>None</v>
      </c>
      <c r="F1285" s="7" t="str">
        <f>IFERROR(__xludf.DUMMYFUNCTION("""COMPUTED_VALUE"""),"None")</f>
        <v>None</v>
      </c>
      <c r="G1285" s="7" t="str">
        <f>IFERROR(__xludf.DUMMYFUNCTION("""COMPUTED_VALUE"""),"No salary data")</f>
        <v>No salary data</v>
      </c>
      <c r="H1285" s="7" t="str">
        <f>IFERROR(__xludf.DUMMYFUNCTION("""COMPUTED_VALUE"""),"No salary data")</f>
        <v>No salary data</v>
      </c>
      <c r="I1285" s="7" t="str">
        <f>IFERROR(__xludf.DUMMYFUNCTION("""COMPUTED_VALUE"""),"No salary data")</f>
        <v>No salary data</v>
      </c>
      <c r="J1285" s="7" t="str">
        <f>IFERROR(__xludf.DUMMYFUNCTION("""COMPUTED_VALUE"""),"Scrum")</f>
        <v>Scrum</v>
      </c>
      <c r="K1285" s="7" t="str">
        <f>IFERROR(__xludf.DUMMYFUNCTION("""COMPUTED_VALUE"""),"No job type data")</f>
        <v>No job type data</v>
      </c>
      <c r="L1285" s="7" t="str">
        <f>IFERROR(__xludf.DUMMYFUNCTION("""COMPUTED_VALUE"""),"None")</f>
        <v>None</v>
      </c>
      <c r="M1285" s="7"/>
      <c r="N1285" s="7"/>
      <c r="O1285" s="7"/>
    </row>
    <row r="1286">
      <c r="A1286" s="29">
        <f>IFERROR(__xludf.DUMMYFUNCTION("""COMPUTED_VALUE"""),1282.0)</f>
        <v>1282</v>
      </c>
      <c r="B1286" s="7" t="str">
        <f>IFERROR(__xludf.DUMMYFUNCTION("""COMPUTED_VALUE"""),"Vor mehr als 30 Tagen")</f>
        <v>Vor mehr als 30 Tagen</v>
      </c>
      <c r="C1286" s="7" t="str">
        <f>IFERROR(__xludf.DUMMYFUNCTION("""COMPUTED_VALUE"""),"Production IT Engineer*")</f>
        <v>Production IT Engineer*</v>
      </c>
      <c r="D1286" s="7" t="str">
        <f>IFERROR(__xludf.DUMMYFUNCTION("""COMPUTED_VALUE"""),"Mainz")</f>
        <v>Mainz</v>
      </c>
      <c r="E1286" s="7" t="str">
        <f>IFERROR(__xludf.DUMMYFUNCTION("""COMPUTED_VALUE"""),"SCHOTT AG")</f>
        <v>SCHOTT AG</v>
      </c>
      <c r="F1286" s="7" t="str">
        <f>IFERROR(__xludf.DUMMYFUNCTION("""COMPUTED_VALUE"""),"None")</f>
        <v>None</v>
      </c>
      <c r="G1286" s="7" t="str">
        <f>IFERROR(__xludf.DUMMYFUNCTION("""COMPUTED_VALUE"""),"No salary data")</f>
        <v>No salary data</v>
      </c>
      <c r="H1286" s="7" t="str">
        <f>IFERROR(__xludf.DUMMYFUNCTION("""COMPUTED_VALUE"""),"No salary data")</f>
        <v>No salary data</v>
      </c>
      <c r="I1286" s="7" t="str">
        <f>IFERROR(__xludf.DUMMYFUNCTION("""COMPUTED_VALUE"""),"No salary data")</f>
        <v>No salary data</v>
      </c>
      <c r="J1286" s="7" t="str">
        <f>IFERROR(__xludf.DUMMYFUNCTION("""COMPUTED_VALUE"""),"Git, Agile")</f>
        <v>Git, Agile</v>
      </c>
      <c r="K1286" s="7" t="str">
        <f>IFERROR(__xludf.DUMMYFUNCTION("""COMPUTED_VALUE"""),"No job type data")</f>
        <v>No job type data</v>
      </c>
      <c r="L1286" s="7" t="str">
        <f>IFERROR(__xludf.DUMMYFUNCTION("""COMPUTED_VALUE"""),"4,0")</f>
        <v>4,0</v>
      </c>
      <c r="M1286" s="7"/>
      <c r="N1286" s="7"/>
      <c r="O1286" s="7"/>
    </row>
    <row r="1287">
      <c r="A1287" s="29">
        <f>IFERROR(__xludf.DUMMYFUNCTION("""COMPUTED_VALUE"""),1283.0)</f>
        <v>1283</v>
      </c>
      <c r="B1287" s="7" t="str">
        <f>IFERROR(__xludf.DUMMYFUNCTION("""COMPUTED_VALUE"""),"vor 10 Tagen")</f>
        <v>vor 10 Tagen</v>
      </c>
      <c r="C1287" s="7" t="str">
        <f>IFERROR(__xludf.DUMMYFUNCTION("""COMPUTED_VALUE"""),"Für Freelancer: DWH Architekt - DB2, DataVault")</f>
        <v>Für Freelancer: DWH Architekt - DB2, DataVault</v>
      </c>
      <c r="D1287" s="7" t="str">
        <f>IFERROR(__xludf.DUMMYFUNCTION("""COMPUTED_VALUE"""),"Hamburg")</f>
        <v>Hamburg</v>
      </c>
      <c r="E1287" s="7" t="str">
        <f>IFERROR(__xludf.DUMMYFUNCTION("""COMPUTED_VALUE"""),"None")</f>
        <v>None</v>
      </c>
      <c r="F1287" s="7" t="str">
        <f>IFERROR(__xludf.DUMMYFUNCTION("""COMPUTED_VALUE"""),"None")</f>
        <v>None</v>
      </c>
      <c r="G1287" s="7" t="str">
        <f>IFERROR(__xludf.DUMMYFUNCTION("""COMPUTED_VALUE"""),"No salary data")</f>
        <v>No salary data</v>
      </c>
      <c r="H1287" s="7" t="str">
        <f>IFERROR(__xludf.DUMMYFUNCTION("""COMPUTED_VALUE"""),"No salary data")</f>
        <v>No salary data</v>
      </c>
      <c r="I1287" s="7" t="str">
        <f>IFERROR(__xludf.DUMMYFUNCTION("""COMPUTED_VALUE"""),"No salary data")</f>
        <v>No salary data</v>
      </c>
      <c r="J1287" s="7"/>
      <c r="K1287" s="7" t="str">
        <f>IFERROR(__xludf.DUMMYFUNCTION("""COMPUTED_VALUE"""),"No job type data")</f>
        <v>No job type data</v>
      </c>
      <c r="L1287" s="7" t="str">
        <f>IFERROR(__xludf.DUMMYFUNCTION("""COMPUTED_VALUE"""),"None")</f>
        <v>None</v>
      </c>
      <c r="M1287" s="7"/>
      <c r="N1287" s="7"/>
      <c r="O1287" s="7"/>
    </row>
    <row r="1288">
      <c r="A1288" s="29">
        <f>IFERROR(__xludf.DUMMYFUNCTION("""COMPUTED_VALUE"""),1284.0)</f>
        <v>1284</v>
      </c>
      <c r="B1288" s="7" t="str">
        <f>IFERROR(__xludf.DUMMYFUNCTION("""COMPUTED_VALUE"""),"vor 3 Tagen")</f>
        <v>vor 3 Tagen</v>
      </c>
      <c r="C1288" s="7" t="str">
        <f>IFERROR(__xludf.DUMMYFUNCTION("""COMPUTED_VALUE"""),"Für Freelancer: Software Engineer (PLAPP) (m/w/d) - 54087/FL")</f>
        <v>Für Freelancer: Software Engineer (PLAPP) (m/w/d) - 54087/FL</v>
      </c>
      <c r="D1288" s="7" t="str">
        <f>IFERROR(__xludf.DUMMYFUNCTION("""COMPUTED_VALUE"""),"Darmstadt")</f>
        <v>Darmstadt</v>
      </c>
      <c r="E1288" s="7" t="str">
        <f>IFERROR(__xludf.DUMMYFUNCTION("""COMPUTED_VALUE"""),"None")</f>
        <v>None</v>
      </c>
      <c r="F1288" s="7" t="str">
        <f>IFERROR(__xludf.DUMMYFUNCTION("""COMPUTED_VALUE"""),"None")</f>
        <v>None</v>
      </c>
      <c r="G1288" s="7" t="str">
        <f>IFERROR(__xludf.DUMMYFUNCTION("""COMPUTED_VALUE"""),"No salary data")</f>
        <v>No salary data</v>
      </c>
      <c r="H1288" s="7" t="str">
        <f>IFERROR(__xludf.DUMMYFUNCTION("""COMPUTED_VALUE"""),"No salary data")</f>
        <v>No salary data</v>
      </c>
      <c r="I1288" s="7" t="str">
        <f>IFERROR(__xludf.DUMMYFUNCTION("""COMPUTED_VALUE"""),"No salary data")</f>
        <v>No salary data</v>
      </c>
      <c r="J1288" s="7" t="str">
        <f>IFERROR(__xludf.DUMMYFUNCTION("""COMPUTED_VALUE"""),"SQL")</f>
        <v>SQL</v>
      </c>
      <c r="K1288" s="7" t="str">
        <f>IFERROR(__xludf.DUMMYFUNCTION("""COMPUTED_VALUE"""),"No job type data")</f>
        <v>No job type data</v>
      </c>
      <c r="L1288" s="7" t="str">
        <f>IFERROR(__xludf.DUMMYFUNCTION("""COMPUTED_VALUE"""),"None")</f>
        <v>None</v>
      </c>
      <c r="M1288" s="7"/>
      <c r="N1288" s="7"/>
      <c r="O1288" s="7"/>
    </row>
    <row r="1289">
      <c r="A1289" s="29">
        <f>IFERROR(__xludf.DUMMYFUNCTION("""COMPUTED_VALUE"""),1285.0)</f>
        <v>1285</v>
      </c>
      <c r="B1289" s="7" t="str">
        <f>IFERROR(__xludf.DUMMYFUNCTION("""COMPUTED_VALUE"""),"vor 17 Tagen")</f>
        <v>vor 17 Tagen</v>
      </c>
      <c r="C1289" s="7" t="str">
        <f>IFERROR(__xludf.DUMMYFUNCTION("""COMPUTED_VALUE"""),"Für Freelancer: Senior Clinical Data Manager")</f>
        <v>Für Freelancer: Senior Clinical Data Manager</v>
      </c>
      <c r="D1289" s="7" t="str">
        <f>IFERROR(__xludf.DUMMYFUNCTION("""COMPUTED_VALUE"""),"Berlin")</f>
        <v>Berlin</v>
      </c>
      <c r="E1289" s="7" t="str">
        <f>IFERROR(__xludf.DUMMYFUNCTION("""COMPUTED_VALUE"""),"None")</f>
        <v>None</v>
      </c>
      <c r="F1289" s="7" t="str">
        <f>IFERROR(__xludf.DUMMYFUNCTION("""COMPUTED_VALUE"""),"None")</f>
        <v>None</v>
      </c>
      <c r="G1289" s="7" t="str">
        <f>IFERROR(__xludf.DUMMYFUNCTION("""COMPUTED_VALUE"""),"No salary data")</f>
        <v>No salary data</v>
      </c>
      <c r="H1289" s="7" t="str">
        <f>IFERROR(__xludf.DUMMYFUNCTION("""COMPUTED_VALUE"""),"No salary data")</f>
        <v>No salary data</v>
      </c>
      <c r="I1289" s="7" t="str">
        <f>IFERROR(__xludf.DUMMYFUNCTION("""COMPUTED_VALUE"""),"No salary data")</f>
        <v>No salary data</v>
      </c>
      <c r="J1289" s="7"/>
      <c r="K1289" s="7" t="str">
        <f>IFERROR(__xludf.DUMMYFUNCTION("""COMPUTED_VALUE"""),"No job type data")</f>
        <v>No job type data</v>
      </c>
      <c r="L1289" s="7" t="str">
        <f>IFERROR(__xludf.DUMMYFUNCTION("""COMPUTED_VALUE"""),"None")</f>
        <v>None</v>
      </c>
      <c r="M1289" s="7"/>
      <c r="N1289" s="7"/>
      <c r="O1289" s="7"/>
    </row>
    <row r="1290">
      <c r="A1290" s="29">
        <f>IFERROR(__xludf.DUMMYFUNCTION("""COMPUTED_VALUE"""),1286.0)</f>
        <v>1286</v>
      </c>
      <c r="B1290" s="7" t="str">
        <f>IFERROR(__xludf.DUMMYFUNCTION("""COMPUTED_VALUE"""),"Vor mehr als 30 Tagen")</f>
        <v>Vor mehr als 30 Tagen</v>
      </c>
      <c r="C1290" s="7" t="str">
        <f>IFERROR(__xludf.DUMMYFUNCTION("""COMPUTED_VALUE"""),"Für Freelancer: Projekt: Oracle DWH Entwicklung in Hamburg")</f>
        <v>Für Freelancer: Projekt: Oracle DWH Entwicklung in Hamburg</v>
      </c>
      <c r="D1290" s="7" t="str">
        <f>IFERROR(__xludf.DUMMYFUNCTION("""COMPUTED_VALUE"""),"Hamburg")</f>
        <v>Hamburg</v>
      </c>
      <c r="E1290" s="7" t="str">
        <f>IFERROR(__xludf.DUMMYFUNCTION("""COMPUTED_VALUE"""),"None")</f>
        <v>None</v>
      </c>
      <c r="F1290" s="7" t="str">
        <f>IFERROR(__xludf.DUMMYFUNCTION("""COMPUTED_VALUE"""),"None")</f>
        <v>None</v>
      </c>
      <c r="G1290" s="7" t="str">
        <f>IFERROR(__xludf.DUMMYFUNCTION("""COMPUTED_VALUE"""),"No salary data")</f>
        <v>No salary data</v>
      </c>
      <c r="H1290" s="7" t="str">
        <f>IFERROR(__xludf.DUMMYFUNCTION("""COMPUTED_VALUE"""),"No salary data")</f>
        <v>No salary data</v>
      </c>
      <c r="I1290" s="7" t="str">
        <f>IFERROR(__xludf.DUMMYFUNCTION("""COMPUTED_VALUE"""),"No salary data")</f>
        <v>No salary data</v>
      </c>
      <c r="J1290" s="7"/>
      <c r="K1290" s="7" t="str">
        <f>IFERROR(__xludf.DUMMYFUNCTION("""COMPUTED_VALUE"""),"No job type data")</f>
        <v>No job type data</v>
      </c>
      <c r="L1290" s="7" t="str">
        <f>IFERROR(__xludf.DUMMYFUNCTION("""COMPUTED_VALUE"""),"None")</f>
        <v>None</v>
      </c>
      <c r="M1290" s="7"/>
      <c r="N1290" s="7"/>
      <c r="O1290" s="7"/>
    </row>
    <row r="1291">
      <c r="A1291" s="29">
        <f>IFERROR(__xludf.DUMMYFUNCTION("""COMPUTED_VALUE"""),1287.0)</f>
        <v>1287</v>
      </c>
      <c r="B1291" s="7" t="str">
        <f>IFERROR(__xludf.DUMMYFUNCTION("""COMPUTED_VALUE"""),"Vor mehr als 30 Tagen")</f>
        <v>Vor mehr als 30 Tagen</v>
      </c>
      <c r="C1291" s="7" t="str">
        <f>IFERROR(__xludf.DUMMYFUNCTION("""COMPUTED_VALUE"""),"Für Freelancer: iOS oder Android Entwicklung mit Tealium Dat...")</f>
        <v>Für Freelancer: iOS oder Android Entwicklung mit Tealium Dat...</v>
      </c>
      <c r="D1291" s="7" t="str">
        <f>IFERROR(__xludf.DUMMYFUNCTION("""COMPUTED_VALUE"""),"Berlin")</f>
        <v>Berlin</v>
      </c>
      <c r="E1291" s="7" t="str">
        <f>IFERROR(__xludf.DUMMYFUNCTION("""COMPUTED_VALUE"""),"None")</f>
        <v>None</v>
      </c>
      <c r="F1291" s="7" t="str">
        <f>IFERROR(__xludf.DUMMYFUNCTION("""COMPUTED_VALUE"""),"None")</f>
        <v>None</v>
      </c>
      <c r="G1291" s="7" t="str">
        <f>IFERROR(__xludf.DUMMYFUNCTION("""COMPUTED_VALUE"""),"No salary data")</f>
        <v>No salary data</v>
      </c>
      <c r="H1291" s="7" t="str">
        <f>IFERROR(__xludf.DUMMYFUNCTION("""COMPUTED_VALUE"""),"No salary data")</f>
        <v>No salary data</v>
      </c>
      <c r="I1291" s="7" t="str">
        <f>IFERROR(__xludf.DUMMYFUNCTION("""COMPUTED_VALUE"""),"No salary data")</f>
        <v>No salary data</v>
      </c>
      <c r="J1291" s="7"/>
      <c r="K1291" s="7" t="str">
        <f>IFERROR(__xludf.DUMMYFUNCTION("""COMPUTED_VALUE"""),"No job type data")</f>
        <v>No job type data</v>
      </c>
      <c r="L1291" s="7" t="str">
        <f>IFERROR(__xludf.DUMMYFUNCTION("""COMPUTED_VALUE"""),"None")</f>
        <v>None</v>
      </c>
      <c r="M1291" s="7"/>
      <c r="N1291" s="7"/>
      <c r="O1291" s="7"/>
    </row>
    <row r="1292">
      <c r="A1292" s="29">
        <f>IFERROR(__xludf.DUMMYFUNCTION("""COMPUTED_VALUE"""),1288.0)</f>
        <v>1288</v>
      </c>
      <c r="B1292" s="7" t="str">
        <f>IFERROR(__xludf.DUMMYFUNCTION("""COMPUTED_VALUE"""),"vor 14 Tagen")</f>
        <v>vor 14 Tagen</v>
      </c>
      <c r="C1292" s="7" t="str">
        <f>IFERROR(__xludf.DUMMYFUNCTION("""COMPUTED_VALUE"""),"Für Freelancer: Fullstack Frontend Entwickler (m/w/d)")</f>
        <v>Für Freelancer: Fullstack Frontend Entwickler (m/w/d)</v>
      </c>
      <c r="D1292" s="7" t="str">
        <f>IFERROR(__xludf.DUMMYFUNCTION("""COMPUTED_VALUE"""),"Dortmund")</f>
        <v>Dortmund</v>
      </c>
      <c r="E1292" s="7" t="str">
        <f>IFERROR(__xludf.DUMMYFUNCTION("""COMPUTED_VALUE"""),"None")</f>
        <v>None</v>
      </c>
      <c r="F1292" s="7" t="str">
        <f>IFERROR(__xludf.DUMMYFUNCTION("""COMPUTED_VALUE"""),"None")</f>
        <v>None</v>
      </c>
      <c r="G1292" s="7" t="str">
        <f>IFERROR(__xludf.DUMMYFUNCTION("""COMPUTED_VALUE"""),"No salary data")</f>
        <v>No salary data</v>
      </c>
      <c r="H1292" s="7" t="str">
        <f>IFERROR(__xludf.DUMMYFUNCTION("""COMPUTED_VALUE"""),"No salary data")</f>
        <v>No salary data</v>
      </c>
      <c r="I1292" s="7" t="str">
        <f>IFERROR(__xludf.DUMMYFUNCTION("""COMPUTED_VALUE"""),"No salary data")</f>
        <v>No salary data</v>
      </c>
      <c r="J1292" s="7" t="str">
        <f>IFERROR(__xludf.DUMMYFUNCTION("""COMPUTED_VALUE"""),"Python, Git")</f>
        <v>Python, Git</v>
      </c>
      <c r="K1292" s="7" t="str">
        <f>IFERROR(__xludf.DUMMYFUNCTION("""COMPUTED_VALUE"""),"No job type data")</f>
        <v>No job type data</v>
      </c>
      <c r="L1292" s="7" t="str">
        <f>IFERROR(__xludf.DUMMYFUNCTION("""COMPUTED_VALUE"""),"None")</f>
        <v>None</v>
      </c>
      <c r="M1292" s="7"/>
      <c r="N1292" s="7"/>
      <c r="O1292" s="7"/>
    </row>
    <row r="1293">
      <c r="A1293" s="29">
        <f>IFERROR(__xludf.DUMMYFUNCTION("""COMPUTED_VALUE"""),1289.0)</f>
        <v>1289</v>
      </c>
      <c r="B1293" s="7" t="str">
        <f>IFERROR(__xludf.DUMMYFUNCTION("""COMPUTED_VALUE"""),"vor 6 Tagen")</f>
        <v>vor 6 Tagen</v>
      </c>
      <c r="C1293" s="7" t="str">
        <f>IFERROR(__xludf.DUMMYFUNCTION("""COMPUTED_VALUE"""),"Für Freelancer: SAP 2nd Level Support 200PT ab Januar 2021 (...")</f>
        <v>Für Freelancer: SAP 2nd Level Support 200PT ab Januar 2021 (...</v>
      </c>
      <c r="D1293" s="7" t="str">
        <f>IFERROR(__xludf.DUMMYFUNCTION("""COMPUTED_VALUE"""),"Köln")</f>
        <v>Köln</v>
      </c>
      <c r="E1293" s="7" t="str">
        <f>IFERROR(__xludf.DUMMYFUNCTION("""COMPUTED_VALUE"""),"None")</f>
        <v>None</v>
      </c>
      <c r="F1293" s="7" t="str">
        <f>IFERROR(__xludf.DUMMYFUNCTION("""COMPUTED_VALUE"""),"None")</f>
        <v>None</v>
      </c>
      <c r="G1293" s="7" t="str">
        <f>IFERROR(__xludf.DUMMYFUNCTION("""COMPUTED_VALUE"""),"No salary data")</f>
        <v>No salary data</v>
      </c>
      <c r="H1293" s="7" t="str">
        <f>IFERROR(__xludf.DUMMYFUNCTION("""COMPUTED_VALUE"""),"No salary data")</f>
        <v>No salary data</v>
      </c>
      <c r="I1293" s="7" t="str">
        <f>IFERROR(__xludf.DUMMYFUNCTION("""COMPUTED_VALUE"""),"No salary data")</f>
        <v>No salary data</v>
      </c>
      <c r="J1293" s="7"/>
      <c r="K1293" s="7" t="str">
        <f>IFERROR(__xludf.DUMMYFUNCTION("""COMPUTED_VALUE"""),"No job type data")</f>
        <v>No job type data</v>
      </c>
      <c r="L1293" s="7" t="str">
        <f>IFERROR(__xludf.DUMMYFUNCTION("""COMPUTED_VALUE"""),"None")</f>
        <v>None</v>
      </c>
      <c r="M1293" s="7"/>
      <c r="N1293" s="7"/>
      <c r="O1293" s="7"/>
    </row>
    <row r="1294">
      <c r="A1294" s="29">
        <f>IFERROR(__xludf.DUMMYFUNCTION("""COMPUTED_VALUE"""),1290.0)</f>
        <v>1290</v>
      </c>
      <c r="B1294" s="7" t="str">
        <f>IFERROR(__xludf.DUMMYFUNCTION("""COMPUTED_VALUE"""),"vor 13 Tagen")</f>
        <v>vor 13 Tagen</v>
      </c>
      <c r="C1294" s="7" t="str">
        <f>IFERROR(__xludf.DUMMYFUNCTION("""COMPUTED_VALUE"""),"Für Freelancer: Software Engineer (m/w/d) für Ulm gesucht")</f>
        <v>Für Freelancer: Software Engineer (m/w/d) für Ulm gesucht</v>
      </c>
      <c r="D1294" s="7" t="str">
        <f>IFERROR(__xludf.DUMMYFUNCTION("""COMPUTED_VALUE"""),"Ulm")</f>
        <v>Ulm</v>
      </c>
      <c r="E1294" s="7" t="str">
        <f>IFERROR(__xludf.DUMMYFUNCTION("""COMPUTED_VALUE"""),"None")</f>
        <v>None</v>
      </c>
      <c r="F1294" s="7" t="str">
        <f>IFERROR(__xludf.DUMMYFUNCTION("""COMPUTED_VALUE"""),"None")</f>
        <v>None</v>
      </c>
      <c r="G1294" s="7" t="str">
        <f>IFERROR(__xludf.DUMMYFUNCTION("""COMPUTED_VALUE"""),"No salary data")</f>
        <v>No salary data</v>
      </c>
      <c r="H1294" s="7" t="str">
        <f>IFERROR(__xludf.DUMMYFUNCTION("""COMPUTED_VALUE"""),"No salary data")</f>
        <v>No salary data</v>
      </c>
      <c r="I1294" s="7" t="str">
        <f>IFERROR(__xludf.DUMMYFUNCTION("""COMPUTED_VALUE"""),"No salary data")</f>
        <v>No salary data</v>
      </c>
      <c r="J1294" s="7" t="str">
        <f>IFERROR(__xludf.DUMMYFUNCTION("""COMPUTED_VALUE"""),"Machine Learning, Agile")</f>
        <v>Machine Learning, Agile</v>
      </c>
      <c r="K1294" s="7" t="str">
        <f>IFERROR(__xludf.DUMMYFUNCTION("""COMPUTED_VALUE"""),"No job type data")</f>
        <v>No job type data</v>
      </c>
      <c r="L1294" s="7" t="str">
        <f>IFERROR(__xludf.DUMMYFUNCTION("""COMPUTED_VALUE"""),"None")</f>
        <v>None</v>
      </c>
      <c r="M1294" s="7"/>
      <c r="N1294" s="7"/>
      <c r="O1294" s="7"/>
    </row>
    <row r="1295">
      <c r="A1295" s="29">
        <f>IFERROR(__xludf.DUMMYFUNCTION("""COMPUTED_VALUE"""),1291.0)</f>
        <v>1291</v>
      </c>
      <c r="B1295" s="7" t="str">
        <f>IFERROR(__xludf.DUMMYFUNCTION("""COMPUTED_VALUE"""),"vor 13 Tagen")</f>
        <v>vor 13 Tagen</v>
      </c>
      <c r="C1295" s="7" t="str">
        <f>IFERROR(__xludf.DUMMYFUNCTION("""COMPUTED_VALUE"""),"Für Freelancer: Solution Architekt gesucht (m/w/d) // Hambur...")</f>
        <v>Für Freelancer: Solution Architekt gesucht (m/w/d) // Hambur...</v>
      </c>
      <c r="D1295" s="7" t="str">
        <f>IFERROR(__xludf.DUMMYFUNCTION("""COMPUTED_VALUE"""),"Hamburg")</f>
        <v>Hamburg</v>
      </c>
      <c r="E1295" s="7" t="str">
        <f>IFERROR(__xludf.DUMMYFUNCTION("""COMPUTED_VALUE"""),"None")</f>
        <v>None</v>
      </c>
      <c r="F1295" s="7" t="str">
        <f>IFERROR(__xludf.DUMMYFUNCTION("""COMPUTED_VALUE"""),"None")</f>
        <v>None</v>
      </c>
      <c r="G1295" s="7" t="str">
        <f>IFERROR(__xludf.DUMMYFUNCTION("""COMPUTED_VALUE"""),"No salary data")</f>
        <v>No salary data</v>
      </c>
      <c r="H1295" s="7" t="str">
        <f>IFERROR(__xludf.DUMMYFUNCTION("""COMPUTED_VALUE"""),"No salary data")</f>
        <v>No salary data</v>
      </c>
      <c r="I1295" s="7" t="str">
        <f>IFERROR(__xludf.DUMMYFUNCTION("""COMPUTED_VALUE"""),"No salary data")</f>
        <v>No salary data</v>
      </c>
      <c r="J1295" s="7"/>
      <c r="K1295" s="7" t="str">
        <f>IFERROR(__xludf.DUMMYFUNCTION("""COMPUTED_VALUE"""),"No job type data")</f>
        <v>No job type data</v>
      </c>
      <c r="L1295" s="7" t="str">
        <f>IFERROR(__xludf.DUMMYFUNCTION("""COMPUTED_VALUE"""),"None")</f>
        <v>None</v>
      </c>
      <c r="M1295" s="7"/>
      <c r="N1295" s="7"/>
      <c r="O1295" s="7"/>
    </row>
    <row r="1296">
      <c r="A1296" s="29">
        <f>IFERROR(__xludf.DUMMYFUNCTION("""COMPUTED_VALUE"""),1292.0)</f>
        <v>1292</v>
      </c>
      <c r="B1296" s="7" t="str">
        <f>IFERROR(__xludf.DUMMYFUNCTION("""COMPUTED_VALUE"""),"vor 12 Tagen")</f>
        <v>vor 12 Tagen</v>
      </c>
      <c r="C1296" s="7" t="str">
        <f>IFERROR(__xludf.DUMMYFUNCTION("""COMPUTED_VALUE"""),"Data Steward - Computational Biology")</f>
        <v>Data Steward - Computational Biology</v>
      </c>
      <c r="D1296" s="7" t="str">
        <f>IFERROR(__xludf.DUMMYFUNCTION("""COMPUTED_VALUE"""),"Deutschland")</f>
        <v>Deutschland</v>
      </c>
      <c r="E1296" s="7" t="str">
        <f>IFERROR(__xludf.DUMMYFUNCTION("""COMPUTED_VALUE"""),"Paramount Recruitment Limited")</f>
        <v>Paramount Recruitment Limited</v>
      </c>
      <c r="F1296" s="7" t="str">
        <f>IFERROR(__xludf.DUMMYFUNCTION("""COMPUTED_VALUE"""),"None")</f>
        <v>None</v>
      </c>
      <c r="G1296" s="7" t="str">
        <f>IFERROR(__xludf.DUMMYFUNCTION("""COMPUTED_VALUE"""),"No salary data")</f>
        <v>No salary data</v>
      </c>
      <c r="H1296" s="7" t="str">
        <f>IFERROR(__xludf.DUMMYFUNCTION("""COMPUTED_VALUE"""),"No salary data")</f>
        <v>No salary data</v>
      </c>
      <c r="I1296" s="7" t="str">
        <f>IFERROR(__xludf.DUMMYFUNCTION("""COMPUTED_VALUE"""),"No salary data")</f>
        <v>No salary data</v>
      </c>
      <c r="J1296" s="7" t="str">
        <f>IFERROR(__xludf.DUMMYFUNCTION("""COMPUTED_VALUE"""),"Excel, Git")</f>
        <v>Excel, Git</v>
      </c>
      <c r="K1296" s="7" t="str">
        <f>IFERROR(__xludf.DUMMYFUNCTION("""COMPUTED_VALUE"""),"No job type data")</f>
        <v>No job type data</v>
      </c>
      <c r="L1296" s="7" t="str">
        <f>IFERROR(__xludf.DUMMYFUNCTION("""COMPUTED_VALUE"""),"None")</f>
        <v>None</v>
      </c>
      <c r="M1296" s="7"/>
      <c r="N1296" s="7"/>
      <c r="O1296" s="7"/>
    </row>
    <row r="1297">
      <c r="A1297" s="29">
        <f>IFERROR(__xludf.DUMMYFUNCTION("""COMPUTED_VALUE"""),1293.0)</f>
        <v>1293</v>
      </c>
      <c r="B1297" s="7" t="str">
        <f>IFERROR(__xludf.DUMMYFUNCTION("""COMPUTED_VALUE"""),"Vor mehr als 30 Tagen")</f>
        <v>Vor mehr als 30 Tagen</v>
      </c>
      <c r="C1297" s="7" t="str">
        <f>IFERROR(__xludf.DUMMYFUNCTION("""COMPUTED_VALUE"""),"Für Freelancer: Freelance SAP QM Projektmanager gesucht")</f>
        <v>Für Freelancer: Freelance SAP QM Projektmanager gesucht</v>
      </c>
      <c r="D1297" s="7" t="str">
        <f>IFERROR(__xludf.DUMMYFUNCTION("""COMPUTED_VALUE"""),"Pfaffenhofen an der Ilm")</f>
        <v>Pfaffenhofen an der Ilm</v>
      </c>
      <c r="E1297" s="7" t="str">
        <f>IFERROR(__xludf.DUMMYFUNCTION("""COMPUTED_VALUE"""),"None")</f>
        <v>None</v>
      </c>
      <c r="F1297" s="7" t="str">
        <f>IFERROR(__xludf.DUMMYFUNCTION("""COMPUTED_VALUE"""),"None")</f>
        <v>None</v>
      </c>
      <c r="G1297" s="7" t="str">
        <f>IFERROR(__xludf.DUMMYFUNCTION("""COMPUTED_VALUE"""),"No salary data")</f>
        <v>No salary data</v>
      </c>
      <c r="H1297" s="7" t="str">
        <f>IFERROR(__xludf.DUMMYFUNCTION("""COMPUTED_VALUE"""),"No salary data")</f>
        <v>No salary data</v>
      </c>
      <c r="I1297" s="7" t="str">
        <f>IFERROR(__xludf.DUMMYFUNCTION("""COMPUTED_VALUE"""),"No salary data")</f>
        <v>No salary data</v>
      </c>
      <c r="J1297" s="7"/>
      <c r="K1297" s="7" t="str">
        <f>IFERROR(__xludf.DUMMYFUNCTION("""COMPUTED_VALUE"""),"No job type data")</f>
        <v>No job type data</v>
      </c>
      <c r="L1297" s="7" t="str">
        <f>IFERROR(__xludf.DUMMYFUNCTION("""COMPUTED_VALUE"""),"None")</f>
        <v>None</v>
      </c>
      <c r="M1297" s="7"/>
      <c r="N1297" s="7"/>
      <c r="O1297" s="7"/>
    </row>
    <row r="1298">
      <c r="A1298" s="29">
        <f>IFERROR(__xludf.DUMMYFUNCTION("""COMPUTED_VALUE"""),1294.0)</f>
        <v>1294</v>
      </c>
      <c r="B1298" s="7" t="str">
        <f>IFERROR(__xludf.DUMMYFUNCTION("""COMPUTED_VALUE"""),"Vor mehr als 30 Tagen")</f>
        <v>Vor mehr als 30 Tagen</v>
      </c>
      <c r="C1298" s="7" t="str">
        <f>IFERROR(__xludf.DUMMYFUNCTION("""COMPUTED_VALUE"""),"Für Freelancer: Freelance DevOps Engineer - Berlin")</f>
        <v>Für Freelancer: Freelance DevOps Engineer - Berlin</v>
      </c>
      <c r="D1298" s="7" t="str">
        <f>IFERROR(__xludf.DUMMYFUNCTION("""COMPUTED_VALUE"""),"Berlin")</f>
        <v>Berlin</v>
      </c>
      <c r="E1298" s="7" t="str">
        <f>IFERROR(__xludf.DUMMYFUNCTION("""COMPUTED_VALUE"""),"None")</f>
        <v>None</v>
      </c>
      <c r="F1298" s="7" t="str">
        <f>IFERROR(__xludf.DUMMYFUNCTION("""COMPUTED_VALUE"""),"None")</f>
        <v>None</v>
      </c>
      <c r="G1298" s="7" t="str">
        <f>IFERROR(__xludf.DUMMYFUNCTION("""COMPUTED_VALUE"""),"No salary data")</f>
        <v>No salary data</v>
      </c>
      <c r="H1298" s="7" t="str">
        <f>IFERROR(__xludf.DUMMYFUNCTION("""COMPUTED_VALUE"""),"No salary data")</f>
        <v>No salary data</v>
      </c>
      <c r="I1298" s="7" t="str">
        <f>IFERROR(__xludf.DUMMYFUNCTION("""COMPUTED_VALUE"""),"No salary data")</f>
        <v>No salary data</v>
      </c>
      <c r="J1298" s="7" t="str">
        <f>IFERROR(__xludf.DUMMYFUNCTION("""COMPUTED_VALUE"""),"Excel")</f>
        <v>Excel</v>
      </c>
      <c r="K1298" s="7" t="str">
        <f>IFERROR(__xludf.DUMMYFUNCTION("""COMPUTED_VALUE"""),"No job type data")</f>
        <v>No job type data</v>
      </c>
      <c r="L1298" s="7" t="str">
        <f>IFERROR(__xludf.DUMMYFUNCTION("""COMPUTED_VALUE"""),"None")</f>
        <v>None</v>
      </c>
      <c r="M1298" s="7"/>
      <c r="N1298" s="7"/>
      <c r="O1298" s="7"/>
    </row>
    <row r="1299">
      <c r="A1299" s="29">
        <f>IFERROR(__xludf.DUMMYFUNCTION("""COMPUTED_VALUE"""),1295.0)</f>
        <v>1295</v>
      </c>
      <c r="B1299" s="7" t="str">
        <f>IFERROR(__xludf.DUMMYFUNCTION("""COMPUTED_VALUE"""),"Vor mehr als 30 Tagen")</f>
        <v>Vor mehr als 30 Tagen</v>
      </c>
      <c r="C1299" s="7" t="str">
        <f>IFERROR(__xludf.DUMMYFUNCTION("""COMPUTED_VALUE"""),"Für Freelancer: Projekt: Administration SAS Analytics in Wie...")</f>
        <v>Für Freelancer: Projekt: Administration SAS Analytics in Wie...</v>
      </c>
      <c r="D1299" s="7" t="str">
        <f>IFERROR(__xludf.DUMMYFUNCTION("""COMPUTED_VALUE"""),"Wiesbaden")</f>
        <v>Wiesbaden</v>
      </c>
      <c r="E1299" s="7" t="str">
        <f>IFERROR(__xludf.DUMMYFUNCTION("""COMPUTED_VALUE"""),"None")</f>
        <v>None</v>
      </c>
      <c r="F1299" s="7" t="str">
        <f>IFERROR(__xludf.DUMMYFUNCTION("""COMPUTED_VALUE"""),"None")</f>
        <v>None</v>
      </c>
      <c r="G1299" s="7" t="str">
        <f>IFERROR(__xludf.DUMMYFUNCTION("""COMPUTED_VALUE"""),"No salary data")</f>
        <v>No salary data</v>
      </c>
      <c r="H1299" s="7" t="str">
        <f>IFERROR(__xludf.DUMMYFUNCTION("""COMPUTED_VALUE"""),"No salary data")</f>
        <v>No salary data</v>
      </c>
      <c r="I1299" s="7" t="str">
        <f>IFERROR(__xludf.DUMMYFUNCTION("""COMPUTED_VALUE"""),"No salary data")</f>
        <v>No salary data</v>
      </c>
      <c r="J1299" s="7" t="str">
        <f>IFERROR(__xludf.DUMMYFUNCTION("""COMPUTED_VALUE"""),"Linux")</f>
        <v>Linux</v>
      </c>
      <c r="K1299" s="7" t="str">
        <f>IFERROR(__xludf.DUMMYFUNCTION("""COMPUTED_VALUE"""),"No job type data")</f>
        <v>No job type data</v>
      </c>
      <c r="L1299" s="7" t="str">
        <f>IFERROR(__xludf.DUMMYFUNCTION("""COMPUTED_VALUE"""),"None")</f>
        <v>None</v>
      </c>
      <c r="M1299" s="7"/>
      <c r="N1299" s="7"/>
      <c r="O1299" s="7"/>
    </row>
    <row r="1300">
      <c r="A1300" s="29">
        <f>IFERROR(__xludf.DUMMYFUNCTION("""COMPUTED_VALUE"""),1296.0)</f>
        <v>1296</v>
      </c>
      <c r="B1300" s="7" t="str">
        <f>IFERROR(__xludf.DUMMYFUNCTION("""COMPUTED_VALUE"""),"vor 12 Tagen")</f>
        <v>vor 12 Tagen</v>
      </c>
      <c r="C1300" s="7" t="str">
        <f>IFERROR(__xludf.DUMMYFUNCTION("""COMPUTED_VALUE"""),"Für Freelancer: Engineer VMware und Hybrid Cloud (m/w/d)")</f>
        <v>Für Freelancer: Engineer VMware und Hybrid Cloud (m/w/d)</v>
      </c>
      <c r="D1300" s="7" t="str">
        <f>IFERROR(__xludf.DUMMYFUNCTION("""COMPUTED_VALUE"""),"Deutschland")</f>
        <v>Deutschland</v>
      </c>
      <c r="E1300" s="7" t="str">
        <f>IFERROR(__xludf.DUMMYFUNCTION("""COMPUTED_VALUE"""),"None")</f>
        <v>None</v>
      </c>
      <c r="F1300" s="7" t="str">
        <f>IFERROR(__xludf.DUMMYFUNCTION("""COMPUTED_VALUE"""),"None")</f>
        <v>None</v>
      </c>
      <c r="G1300" s="7" t="str">
        <f>IFERROR(__xludf.DUMMYFUNCTION("""COMPUTED_VALUE"""),"No salary data")</f>
        <v>No salary data</v>
      </c>
      <c r="H1300" s="7" t="str">
        <f>IFERROR(__xludf.DUMMYFUNCTION("""COMPUTED_VALUE"""),"No salary data")</f>
        <v>No salary data</v>
      </c>
      <c r="I1300" s="7" t="str">
        <f>IFERROR(__xludf.DUMMYFUNCTION("""COMPUTED_VALUE"""),"No salary data")</f>
        <v>No salary data</v>
      </c>
      <c r="J1300" s="7" t="str">
        <f>IFERROR(__xludf.DUMMYFUNCTION("""COMPUTED_VALUE"""),"Python, Linux")</f>
        <v>Python, Linux</v>
      </c>
      <c r="K1300" s="7" t="str">
        <f>IFERROR(__xludf.DUMMYFUNCTION("""COMPUTED_VALUE"""),"No job type data")</f>
        <v>No job type data</v>
      </c>
      <c r="L1300" s="7" t="str">
        <f>IFERROR(__xludf.DUMMYFUNCTION("""COMPUTED_VALUE"""),"None")</f>
        <v>None</v>
      </c>
      <c r="M1300" s="7"/>
      <c r="N1300" s="7"/>
      <c r="O1300" s="7"/>
    </row>
    <row r="1301">
      <c r="A1301" s="29">
        <f>IFERROR(__xludf.DUMMYFUNCTION("""COMPUTED_VALUE"""),1297.0)</f>
        <v>1297</v>
      </c>
      <c r="B1301" s="7" t="str">
        <f>IFERROR(__xludf.DUMMYFUNCTION("""COMPUTED_VALUE"""),"Gerade geschaltet")</f>
        <v>Gerade geschaltet</v>
      </c>
      <c r="C1301" s="7" t="str">
        <f>IFERROR(__xludf.DUMMYFUNCTION("""COMPUTED_VALUE"""),"Für Freelancer: Azure DevOps / BI Spezialist (m/w/d)")</f>
        <v>Für Freelancer: Azure DevOps / BI Spezialist (m/w/d)</v>
      </c>
      <c r="D1301" s="7" t="str">
        <f>IFERROR(__xludf.DUMMYFUNCTION("""COMPUTED_VALUE"""),"Home Office")</f>
        <v>Home Office</v>
      </c>
      <c r="E1301" s="7" t="str">
        <f>IFERROR(__xludf.DUMMYFUNCTION("""COMPUTED_VALUE"""),"None")</f>
        <v>None</v>
      </c>
      <c r="F1301" s="7" t="str">
        <f>IFERROR(__xludf.DUMMYFUNCTION("""COMPUTED_VALUE"""),"None")</f>
        <v>None</v>
      </c>
      <c r="G1301" s="7" t="str">
        <f>IFERROR(__xludf.DUMMYFUNCTION("""COMPUTED_VALUE"""),"No salary data")</f>
        <v>No salary data</v>
      </c>
      <c r="H1301" s="7" t="str">
        <f>IFERROR(__xludf.DUMMYFUNCTION("""COMPUTED_VALUE"""),"No salary data")</f>
        <v>No salary data</v>
      </c>
      <c r="I1301" s="7" t="str">
        <f>IFERROR(__xludf.DUMMYFUNCTION("""COMPUTED_VALUE"""),"No salary data")</f>
        <v>No salary data</v>
      </c>
      <c r="J1301" s="7" t="str">
        <f>IFERROR(__xludf.DUMMYFUNCTION("""COMPUTED_VALUE"""),"Python, SQL")</f>
        <v>Python, SQL</v>
      </c>
      <c r="K1301" s="7" t="str">
        <f>IFERROR(__xludf.DUMMYFUNCTION("""COMPUTED_VALUE"""),"No job type data")</f>
        <v>No job type data</v>
      </c>
      <c r="L1301" s="7" t="str">
        <f>IFERROR(__xludf.DUMMYFUNCTION("""COMPUTED_VALUE"""),"None")</f>
        <v>None</v>
      </c>
      <c r="M1301" s="7"/>
      <c r="N1301" s="7"/>
      <c r="O1301" s="7"/>
    </row>
    <row r="1302">
      <c r="A1302" s="29">
        <f>IFERROR(__xludf.DUMMYFUNCTION("""COMPUTED_VALUE"""),1298.0)</f>
        <v>1298</v>
      </c>
      <c r="B1302" s="7" t="str">
        <f>IFERROR(__xludf.DUMMYFUNCTION("""COMPUTED_VALUE"""),"vor 20 Tagen")</f>
        <v>vor 20 Tagen</v>
      </c>
      <c r="C1302" s="7" t="str">
        <f>IFERROR(__xludf.DUMMYFUNCTION("""COMPUTED_VALUE"""),"Für Freelancer: Productmanager Berlin/Remote")</f>
        <v>Für Freelancer: Productmanager Berlin/Remote</v>
      </c>
      <c r="D1302" s="7" t="str">
        <f>IFERROR(__xludf.DUMMYFUNCTION("""COMPUTED_VALUE"""),"Berlin")</f>
        <v>Berlin</v>
      </c>
      <c r="E1302" s="7" t="str">
        <f>IFERROR(__xludf.DUMMYFUNCTION("""COMPUTED_VALUE"""),"None")</f>
        <v>None</v>
      </c>
      <c r="F1302" s="7" t="str">
        <f>IFERROR(__xludf.DUMMYFUNCTION("""COMPUTED_VALUE"""),"500 € - 600 € pro Monat")</f>
        <v>500 € - 600 € pro Monat</v>
      </c>
      <c r="G1302" s="7">
        <f>IFERROR(__xludf.DUMMYFUNCTION("""COMPUTED_VALUE"""),550.0)</f>
        <v>550</v>
      </c>
      <c r="H1302" s="7" t="str">
        <f>IFERROR(__xludf.DUMMYFUNCTION("""COMPUTED_VALUE"""),"Monat")</f>
        <v>Monat</v>
      </c>
      <c r="I1302" s="7">
        <f>IFERROR(__xludf.DUMMYFUNCTION("""COMPUTED_VALUE"""),6600.0)</f>
        <v>6600</v>
      </c>
      <c r="J1302" s="7" t="str">
        <f>IFERROR(__xludf.DUMMYFUNCTION("""COMPUTED_VALUE"""),"Excel, Agile")</f>
        <v>Excel, Agile</v>
      </c>
      <c r="K1302" s="7" t="str">
        <f>IFERROR(__xludf.DUMMYFUNCTION("""COMPUTED_VALUE"""),"No job type data")</f>
        <v>No job type data</v>
      </c>
      <c r="L1302" s="7" t="str">
        <f>IFERROR(__xludf.DUMMYFUNCTION("""COMPUTED_VALUE"""),"None")</f>
        <v>None</v>
      </c>
      <c r="M1302" s="7"/>
      <c r="N1302" s="7"/>
      <c r="O1302" s="7"/>
    </row>
    <row r="1303">
      <c r="A1303" s="29">
        <f>IFERROR(__xludf.DUMMYFUNCTION("""COMPUTED_VALUE"""),1299.0)</f>
        <v>1299</v>
      </c>
      <c r="B1303" s="7" t="str">
        <f>IFERROR(__xludf.DUMMYFUNCTION("""COMPUTED_VALUE"""),"Gerade geschaltet")</f>
        <v>Gerade geschaltet</v>
      </c>
      <c r="C1303" s="7" t="str">
        <f>IFERROR(__xludf.DUMMYFUNCTION("""COMPUTED_VALUE"""),"Für Freelancer: C # / .Net Softwareentwickler (m/w/d)")</f>
        <v>Für Freelancer: C # / .Net Softwareentwickler (m/w/d)</v>
      </c>
      <c r="D1303" s="7" t="str">
        <f>IFERROR(__xludf.DUMMYFUNCTION("""COMPUTED_VALUE"""),"Frankfurt am Main")</f>
        <v>Frankfurt am Main</v>
      </c>
      <c r="E1303" s="7" t="str">
        <f>IFERROR(__xludf.DUMMYFUNCTION("""COMPUTED_VALUE"""),"None")</f>
        <v>None</v>
      </c>
      <c r="F1303" s="7" t="str">
        <f>IFERROR(__xludf.DUMMYFUNCTION("""COMPUTED_VALUE"""),"None")</f>
        <v>None</v>
      </c>
      <c r="G1303" s="7" t="str">
        <f>IFERROR(__xludf.DUMMYFUNCTION("""COMPUTED_VALUE"""),"No salary data")</f>
        <v>No salary data</v>
      </c>
      <c r="H1303" s="7" t="str">
        <f>IFERROR(__xludf.DUMMYFUNCTION("""COMPUTED_VALUE"""),"No salary data")</f>
        <v>No salary data</v>
      </c>
      <c r="I1303" s="7" t="str">
        <f>IFERROR(__xludf.DUMMYFUNCTION("""COMPUTED_VALUE"""),"No salary data")</f>
        <v>No salary data</v>
      </c>
      <c r="J1303" s="7" t="str">
        <f>IFERROR(__xludf.DUMMYFUNCTION("""COMPUTED_VALUE"""),"Python, Agile")</f>
        <v>Python, Agile</v>
      </c>
      <c r="K1303" s="7" t="str">
        <f>IFERROR(__xludf.DUMMYFUNCTION("""COMPUTED_VALUE"""),"No job type data")</f>
        <v>No job type data</v>
      </c>
      <c r="L1303" s="7" t="str">
        <f>IFERROR(__xludf.DUMMYFUNCTION("""COMPUTED_VALUE"""),"None")</f>
        <v>None</v>
      </c>
      <c r="M1303" s="7"/>
      <c r="N1303" s="7"/>
      <c r="O1303" s="7"/>
    </row>
    <row r="1304">
      <c r="A1304" s="29">
        <f>IFERROR(__xludf.DUMMYFUNCTION("""COMPUTED_VALUE"""),1300.0)</f>
        <v>1300</v>
      </c>
      <c r="B1304" s="7" t="str">
        <f>IFERROR(__xludf.DUMMYFUNCTION("""COMPUTED_VALUE"""),"vor 18 Tagen")</f>
        <v>vor 18 Tagen</v>
      </c>
      <c r="C1304" s="7" t="str">
        <f>IFERROR(__xludf.DUMMYFUNCTION("""COMPUTED_VALUE"""),"Für Freelancer: IAM Risk Management Experte (m/w/d) - Essen...")</f>
        <v>Für Freelancer: IAM Risk Management Experte (m/w/d) - Essen...</v>
      </c>
      <c r="D1304" s="7" t="str">
        <f>IFERROR(__xludf.DUMMYFUNCTION("""COMPUTED_VALUE"""),"Home Office")</f>
        <v>Home Office</v>
      </c>
      <c r="E1304" s="7" t="str">
        <f>IFERROR(__xludf.DUMMYFUNCTION("""COMPUTED_VALUE"""),"None")</f>
        <v>None</v>
      </c>
      <c r="F1304" s="7" t="str">
        <f>IFERROR(__xludf.DUMMYFUNCTION("""COMPUTED_VALUE"""),"None")</f>
        <v>None</v>
      </c>
      <c r="G1304" s="7" t="str">
        <f>IFERROR(__xludf.DUMMYFUNCTION("""COMPUTED_VALUE"""),"No salary data")</f>
        <v>No salary data</v>
      </c>
      <c r="H1304" s="7" t="str">
        <f>IFERROR(__xludf.DUMMYFUNCTION("""COMPUTED_VALUE"""),"No salary data")</f>
        <v>No salary data</v>
      </c>
      <c r="I1304" s="7" t="str">
        <f>IFERROR(__xludf.DUMMYFUNCTION("""COMPUTED_VALUE"""),"No salary data")</f>
        <v>No salary data</v>
      </c>
      <c r="J1304" s="7"/>
      <c r="K1304" s="7" t="str">
        <f>IFERROR(__xludf.DUMMYFUNCTION("""COMPUTED_VALUE"""),"No job type data")</f>
        <v>No job type data</v>
      </c>
      <c r="L1304" s="7" t="str">
        <f>IFERROR(__xludf.DUMMYFUNCTION("""COMPUTED_VALUE"""),"None")</f>
        <v>None</v>
      </c>
      <c r="M1304" s="7"/>
      <c r="N1304" s="7"/>
      <c r="O1304" s="7"/>
    </row>
    <row r="1305">
      <c r="A1305" s="29">
        <f>IFERROR(__xludf.DUMMYFUNCTION("""COMPUTED_VALUE"""),1301.0)</f>
        <v>1301</v>
      </c>
      <c r="B1305" s="7" t="str">
        <f>IFERROR(__xludf.DUMMYFUNCTION("""COMPUTED_VALUE"""),"Vor mehr als 30 Tagen")</f>
        <v>Vor mehr als 30 Tagen</v>
      </c>
      <c r="C1305" s="7" t="str">
        <f>IFERROR(__xludf.DUMMYFUNCTION("""COMPUTED_VALUE"""),"Für Freelancer: iOS Developer - Berlin - 3 Monatsprojekt - S...")</f>
        <v>Für Freelancer: iOS Developer - Berlin - 3 Monatsprojekt - S...</v>
      </c>
      <c r="D1305" s="7" t="str">
        <f>IFERROR(__xludf.DUMMYFUNCTION("""COMPUTED_VALUE"""),"Berlin")</f>
        <v>Berlin</v>
      </c>
      <c r="E1305" s="7" t="str">
        <f>IFERROR(__xludf.DUMMYFUNCTION("""COMPUTED_VALUE"""),"None")</f>
        <v>None</v>
      </c>
      <c r="F1305" s="7" t="str">
        <f>IFERROR(__xludf.DUMMYFUNCTION("""COMPUTED_VALUE"""),"None")</f>
        <v>None</v>
      </c>
      <c r="G1305" s="7" t="str">
        <f>IFERROR(__xludf.DUMMYFUNCTION("""COMPUTED_VALUE"""),"No salary data")</f>
        <v>No salary data</v>
      </c>
      <c r="H1305" s="7" t="str">
        <f>IFERROR(__xludf.DUMMYFUNCTION("""COMPUTED_VALUE"""),"No salary data")</f>
        <v>No salary data</v>
      </c>
      <c r="I1305" s="7" t="str">
        <f>IFERROR(__xludf.DUMMYFUNCTION("""COMPUTED_VALUE"""),"No salary data")</f>
        <v>No salary data</v>
      </c>
      <c r="J1305" s="7"/>
      <c r="K1305" s="7" t="str">
        <f>IFERROR(__xludf.DUMMYFUNCTION("""COMPUTED_VALUE"""),"No job type data")</f>
        <v>No job type data</v>
      </c>
      <c r="L1305" s="7" t="str">
        <f>IFERROR(__xludf.DUMMYFUNCTION("""COMPUTED_VALUE"""),"None")</f>
        <v>None</v>
      </c>
      <c r="M1305" s="7"/>
      <c r="N1305" s="7"/>
      <c r="O1305" s="7"/>
    </row>
    <row r="1306">
      <c r="A1306" s="29">
        <f>IFERROR(__xludf.DUMMYFUNCTION("""COMPUTED_VALUE"""),1302.0)</f>
        <v>1302</v>
      </c>
      <c r="B1306" s="7" t="str">
        <f>IFERROR(__xludf.DUMMYFUNCTION("""COMPUTED_VALUE"""),"Heute")</f>
        <v>Heute</v>
      </c>
      <c r="C1306" s="7" t="str">
        <f>IFERROR(__xludf.DUMMYFUNCTION("""COMPUTED_VALUE"""),"Für Freelancer: Applikation Manager Klinisch/Medizinischer S...")</f>
        <v>Für Freelancer: Applikation Manager Klinisch/Medizinischer S...</v>
      </c>
      <c r="D1306" s="7" t="str">
        <f>IFERROR(__xludf.DUMMYFUNCTION("""COMPUTED_VALUE"""),"Köln")</f>
        <v>Köln</v>
      </c>
      <c r="E1306" s="7" t="str">
        <f>IFERROR(__xludf.DUMMYFUNCTION("""COMPUTED_VALUE"""),"None")</f>
        <v>None</v>
      </c>
      <c r="F1306" s="7" t="str">
        <f>IFERROR(__xludf.DUMMYFUNCTION("""COMPUTED_VALUE"""),"None")</f>
        <v>None</v>
      </c>
      <c r="G1306" s="7" t="str">
        <f>IFERROR(__xludf.DUMMYFUNCTION("""COMPUTED_VALUE"""),"No salary data")</f>
        <v>No salary data</v>
      </c>
      <c r="H1306" s="7" t="str">
        <f>IFERROR(__xludf.DUMMYFUNCTION("""COMPUTED_VALUE"""),"No salary data")</f>
        <v>No salary data</v>
      </c>
      <c r="I1306" s="7" t="str">
        <f>IFERROR(__xludf.DUMMYFUNCTION("""COMPUTED_VALUE"""),"No salary data")</f>
        <v>No salary data</v>
      </c>
      <c r="J1306" s="7" t="str">
        <f>IFERROR(__xludf.DUMMYFUNCTION("""COMPUTED_VALUE"""),"SQL")</f>
        <v>SQL</v>
      </c>
      <c r="K1306" s="7" t="str">
        <f>IFERROR(__xludf.DUMMYFUNCTION("""COMPUTED_VALUE"""),"No job type data")</f>
        <v>No job type data</v>
      </c>
      <c r="L1306" s="7" t="str">
        <f>IFERROR(__xludf.DUMMYFUNCTION("""COMPUTED_VALUE"""),"None")</f>
        <v>None</v>
      </c>
      <c r="M1306" s="7"/>
      <c r="N1306" s="7"/>
      <c r="O1306" s="7"/>
    </row>
    <row r="1307">
      <c r="A1307" s="29">
        <f>IFERROR(__xludf.DUMMYFUNCTION("""COMPUTED_VALUE"""),1303.0)</f>
        <v>1303</v>
      </c>
      <c r="B1307" s="7" t="str">
        <f>IFERROR(__xludf.DUMMYFUNCTION("""COMPUTED_VALUE"""),"Vor mehr als 30 Tagen")</f>
        <v>Vor mehr als 30 Tagen</v>
      </c>
      <c r="C1307" s="7" t="str">
        <f>IFERROR(__xludf.DUMMYFUNCTION("""COMPUTED_VALUE"""),"Data Integration Engineer (m/w/d)")</f>
        <v>Data Integration Engineer (m/w/d)</v>
      </c>
      <c r="D1307" s="7" t="str">
        <f>IFERROR(__xludf.DUMMYFUNCTION("""COMPUTED_VALUE"""),"Köln")</f>
        <v>Köln</v>
      </c>
      <c r="E1307" s="7" t="str">
        <f>IFERROR(__xludf.DUMMYFUNCTION("""COMPUTED_VALUE"""),"TecAlliance GmbH")</f>
        <v>TecAlliance GmbH</v>
      </c>
      <c r="F1307" s="7" t="str">
        <f>IFERROR(__xludf.DUMMYFUNCTION("""COMPUTED_VALUE"""),"None")</f>
        <v>None</v>
      </c>
      <c r="G1307" s="7" t="str">
        <f>IFERROR(__xludf.DUMMYFUNCTION("""COMPUTED_VALUE"""),"No salary data")</f>
        <v>No salary data</v>
      </c>
      <c r="H1307" s="7" t="str">
        <f>IFERROR(__xludf.DUMMYFUNCTION("""COMPUTED_VALUE"""),"No salary data")</f>
        <v>No salary data</v>
      </c>
      <c r="I1307" s="7" t="str">
        <f>IFERROR(__xludf.DUMMYFUNCTION("""COMPUTED_VALUE"""),"No salary data")</f>
        <v>No salary data</v>
      </c>
      <c r="J1307" s="7" t="str">
        <f>IFERROR(__xludf.DUMMYFUNCTION("""COMPUTED_VALUE"""),"SQL, Git, Agile")</f>
        <v>SQL, Git, Agile</v>
      </c>
      <c r="K1307" s="7" t="str">
        <f>IFERROR(__xludf.DUMMYFUNCTION("""COMPUTED_VALUE"""),"No job type data")</f>
        <v>No job type data</v>
      </c>
      <c r="L1307" s="7" t="str">
        <f>IFERROR(__xludf.DUMMYFUNCTION("""COMPUTED_VALUE"""),"4,5")</f>
        <v>4,5</v>
      </c>
      <c r="M1307" s="7"/>
      <c r="N1307" s="7"/>
      <c r="O1307" s="7"/>
    </row>
    <row r="1308">
      <c r="A1308" s="29">
        <f>IFERROR(__xludf.DUMMYFUNCTION("""COMPUTED_VALUE"""),1304.0)</f>
        <v>1304</v>
      </c>
      <c r="B1308" s="7" t="str">
        <f>IFERROR(__xludf.DUMMYFUNCTION("""COMPUTED_VALUE"""),"Vor mehr als 30 Tagen")</f>
        <v>Vor mehr als 30 Tagen</v>
      </c>
      <c r="C1308" s="7" t="str">
        <f>IFERROR(__xludf.DUMMYFUNCTION("""COMPUTED_VALUE"""),"Für Freelancer: SAP Anwendungsbetreuer (m/w/d) ID: 2526")</f>
        <v>Für Freelancer: SAP Anwendungsbetreuer (m/w/d) ID: 2526</v>
      </c>
      <c r="D1308" s="7" t="str">
        <f>IFERROR(__xludf.DUMMYFUNCTION("""COMPUTED_VALUE"""),"Hannover")</f>
        <v>Hannover</v>
      </c>
      <c r="E1308" s="7" t="str">
        <f>IFERROR(__xludf.DUMMYFUNCTION("""COMPUTED_VALUE"""),"None")</f>
        <v>None</v>
      </c>
      <c r="F1308" s="7" t="str">
        <f>IFERROR(__xludf.DUMMYFUNCTION("""COMPUTED_VALUE"""),"None")</f>
        <v>None</v>
      </c>
      <c r="G1308" s="7" t="str">
        <f>IFERROR(__xludf.DUMMYFUNCTION("""COMPUTED_VALUE"""),"No salary data")</f>
        <v>No salary data</v>
      </c>
      <c r="H1308" s="7" t="str">
        <f>IFERROR(__xludf.DUMMYFUNCTION("""COMPUTED_VALUE"""),"No salary data")</f>
        <v>No salary data</v>
      </c>
      <c r="I1308" s="7" t="str">
        <f>IFERROR(__xludf.DUMMYFUNCTION("""COMPUTED_VALUE"""),"No salary data")</f>
        <v>No salary data</v>
      </c>
      <c r="J1308" s="7"/>
      <c r="K1308" s="7" t="str">
        <f>IFERROR(__xludf.DUMMYFUNCTION("""COMPUTED_VALUE"""),"No job type data")</f>
        <v>No job type data</v>
      </c>
      <c r="L1308" s="7" t="str">
        <f>IFERROR(__xludf.DUMMYFUNCTION("""COMPUTED_VALUE"""),"None")</f>
        <v>None</v>
      </c>
      <c r="M1308" s="7"/>
      <c r="N1308" s="7"/>
      <c r="O1308" s="7"/>
    </row>
    <row r="1309">
      <c r="A1309" s="29">
        <f>IFERROR(__xludf.DUMMYFUNCTION("""COMPUTED_VALUE"""),1305.0)</f>
        <v>1305</v>
      </c>
      <c r="B1309" s="7" t="str">
        <f>IFERROR(__xludf.DUMMYFUNCTION("""COMPUTED_VALUE"""),"vor 7 Tagen")</f>
        <v>vor 7 Tagen</v>
      </c>
      <c r="C1309" s="7" t="str">
        <f>IFERROR(__xludf.DUMMYFUNCTION("""COMPUTED_VALUE"""),"Für Freelancer: SAP S/4HANA Services Berater (m/w/d)")</f>
        <v>Für Freelancer: SAP S/4HANA Services Berater (m/w/d)</v>
      </c>
      <c r="D1309" s="7" t="str">
        <f>IFERROR(__xludf.DUMMYFUNCTION("""COMPUTED_VALUE"""),"Nürnberg")</f>
        <v>Nürnberg</v>
      </c>
      <c r="E1309" s="7" t="str">
        <f>IFERROR(__xludf.DUMMYFUNCTION("""COMPUTED_VALUE"""),"None")</f>
        <v>None</v>
      </c>
      <c r="F1309" s="7" t="str">
        <f>IFERROR(__xludf.DUMMYFUNCTION("""COMPUTED_VALUE"""),"None")</f>
        <v>None</v>
      </c>
      <c r="G1309" s="7" t="str">
        <f>IFERROR(__xludf.DUMMYFUNCTION("""COMPUTED_VALUE"""),"No salary data")</f>
        <v>No salary data</v>
      </c>
      <c r="H1309" s="7" t="str">
        <f>IFERROR(__xludf.DUMMYFUNCTION("""COMPUTED_VALUE"""),"No salary data")</f>
        <v>No salary data</v>
      </c>
      <c r="I1309" s="7" t="str">
        <f>IFERROR(__xludf.DUMMYFUNCTION("""COMPUTED_VALUE"""),"No salary data")</f>
        <v>No salary data</v>
      </c>
      <c r="J1309" s="7"/>
      <c r="K1309" s="7" t="str">
        <f>IFERROR(__xludf.DUMMYFUNCTION("""COMPUTED_VALUE"""),"No job type data")</f>
        <v>No job type data</v>
      </c>
      <c r="L1309" s="7" t="str">
        <f>IFERROR(__xludf.DUMMYFUNCTION("""COMPUTED_VALUE"""),"None")</f>
        <v>None</v>
      </c>
      <c r="M1309" s="7"/>
      <c r="N1309" s="7"/>
      <c r="O1309" s="7"/>
    </row>
    <row r="1310">
      <c r="A1310" s="29">
        <f>IFERROR(__xludf.DUMMYFUNCTION("""COMPUTED_VALUE"""),1306.0)</f>
        <v>1306</v>
      </c>
      <c r="B1310" s="7" t="str">
        <f>IFERROR(__xludf.DUMMYFUNCTION("""COMPUTED_VALUE"""),"vor 12 Tagen")</f>
        <v>vor 12 Tagen</v>
      </c>
      <c r="C1310" s="7" t="str">
        <f>IFERROR(__xludf.DUMMYFUNCTION("""COMPUTED_VALUE"""),"Für Freelancer: Data Engineer im Bereich Chemie (w/m/d) FULL...")</f>
        <v>Für Freelancer: Data Engineer im Bereich Chemie (w/m/d) FULL...</v>
      </c>
      <c r="D1310" s="7" t="str">
        <f>IFERROR(__xludf.DUMMYFUNCTION("""COMPUTED_VALUE"""),"München")</f>
        <v>München</v>
      </c>
      <c r="E1310" s="7" t="str">
        <f>IFERROR(__xludf.DUMMYFUNCTION("""COMPUTED_VALUE"""),"None")</f>
        <v>None</v>
      </c>
      <c r="F1310" s="7" t="str">
        <f>IFERROR(__xludf.DUMMYFUNCTION("""COMPUTED_VALUE"""),"None")</f>
        <v>None</v>
      </c>
      <c r="G1310" s="7" t="str">
        <f>IFERROR(__xludf.DUMMYFUNCTION("""COMPUTED_VALUE"""),"No salary data")</f>
        <v>No salary data</v>
      </c>
      <c r="H1310" s="7" t="str">
        <f>IFERROR(__xludf.DUMMYFUNCTION("""COMPUTED_VALUE"""),"No salary data")</f>
        <v>No salary data</v>
      </c>
      <c r="I1310" s="7" t="str">
        <f>IFERROR(__xludf.DUMMYFUNCTION("""COMPUTED_VALUE"""),"No salary data")</f>
        <v>No salary data</v>
      </c>
      <c r="J1310" s="7" t="str">
        <f>IFERROR(__xludf.DUMMYFUNCTION("""COMPUTED_VALUE"""),"Machine Learning")</f>
        <v>Machine Learning</v>
      </c>
      <c r="K1310" s="7" t="str">
        <f>IFERROR(__xludf.DUMMYFUNCTION("""COMPUTED_VALUE"""),"Contract")</f>
        <v>Contract</v>
      </c>
      <c r="L1310" s="7" t="str">
        <f>IFERROR(__xludf.DUMMYFUNCTION("""COMPUTED_VALUE"""),"None")</f>
        <v>None</v>
      </c>
      <c r="M1310" s="7"/>
      <c r="N1310" s="7"/>
      <c r="O1310" s="7"/>
    </row>
    <row r="1311">
      <c r="A1311" s="29">
        <f>IFERROR(__xludf.DUMMYFUNCTION("""COMPUTED_VALUE"""),1307.0)</f>
        <v>1307</v>
      </c>
      <c r="B1311" s="7" t="str">
        <f>IFERROR(__xludf.DUMMYFUNCTION("""COMPUTED_VALUE"""),"vor 27 Tagen")</f>
        <v>vor 27 Tagen</v>
      </c>
      <c r="C1311" s="7" t="str">
        <f>IFERROR(__xludf.DUMMYFUNCTION("""COMPUTED_VALUE"""),"Für Freelancer: SAP FSDP Consultant")</f>
        <v>Für Freelancer: SAP FSDP Consultant</v>
      </c>
      <c r="D1311" s="7" t="str">
        <f>IFERROR(__xludf.DUMMYFUNCTION("""COMPUTED_VALUE"""),"Hamburg")</f>
        <v>Hamburg</v>
      </c>
      <c r="E1311" s="7" t="str">
        <f>IFERROR(__xludf.DUMMYFUNCTION("""COMPUTED_VALUE"""),"None")</f>
        <v>None</v>
      </c>
      <c r="F1311" s="7" t="str">
        <f>IFERROR(__xludf.DUMMYFUNCTION("""COMPUTED_VALUE"""),"None")</f>
        <v>None</v>
      </c>
      <c r="G1311" s="7" t="str">
        <f>IFERROR(__xludf.DUMMYFUNCTION("""COMPUTED_VALUE"""),"No salary data")</f>
        <v>No salary data</v>
      </c>
      <c r="H1311" s="7" t="str">
        <f>IFERROR(__xludf.DUMMYFUNCTION("""COMPUTED_VALUE"""),"No salary data")</f>
        <v>No salary data</v>
      </c>
      <c r="I1311" s="7" t="str">
        <f>IFERROR(__xludf.DUMMYFUNCTION("""COMPUTED_VALUE"""),"No salary data")</f>
        <v>No salary data</v>
      </c>
      <c r="J1311" s="7"/>
      <c r="K1311" s="7" t="str">
        <f>IFERROR(__xludf.DUMMYFUNCTION("""COMPUTED_VALUE"""),"No job type data")</f>
        <v>No job type data</v>
      </c>
      <c r="L1311" s="7" t="str">
        <f>IFERROR(__xludf.DUMMYFUNCTION("""COMPUTED_VALUE"""),"None")</f>
        <v>None</v>
      </c>
      <c r="M1311" s="7"/>
      <c r="N1311" s="7"/>
      <c r="O1311" s="7"/>
    </row>
    <row r="1312">
      <c r="A1312" s="29">
        <f>IFERROR(__xludf.DUMMYFUNCTION("""COMPUTED_VALUE"""),1308.0)</f>
        <v>1308</v>
      </c>
      <c r="B1312" s="7" t="str">
        <f>IFERROR(__xludf.DUMMYFUNCTION("""COMPUTED_VALUE"""),"vor 19 Tagen")</f>
        <v>vor 19 Tagen</v>
      </c>
      <c r="C1312" s="7" t="str">
        <f>IFERROR(__xludf.DUMMYFUNCTION("""COMPUTED_VALUE"""),"Für Freelancer: Hyperion Financial Management - 100% remote...")</f>
        <v>Für Freelancer: Hyperion Financial Management - 100% remote...</v>
      </c>
      <c r="D1312" s="7" t="str">
        <f>IFERROR(__xludf.DUMMYFUNCTION("""COMPUTED_VALUE"""),"Frankfurt am Main")</f>
        <v>Frankfurt am Main</v>
      </c>
      <c r="E1312" s="7" t="str">
        <f>IFERROR(__xludf.DUMMYFUNCTION("""COMPUTED_VALUE"""),"None")</f>
        <v>None</v>
      </c>
      <c r="F1312" s="7" t="str">
        <f>IFERROR(__xludf.DUMMYFUNCTION("""COMPUTED_VALUE"""),"None")</f>
        <v>None</v>
      </c>
      <c r="G1312" s="7" t="str">
        <f>IFERROR(__xludf.DUMMYFUNCTION("""COMPUTED_VALUE"""),"No salary data")</f>
        <v>No salary data</v>
      </c>
      <c r="H1312" s="7" t="str">
        <f>IFERROR(__xludf.DUMMYFUNCTION("""COMPUTED_VALUE"""),"No salary data")</f>
        <v>No salary data</v>
      </c>
      <c r="I1312" s="7" t="str">
        <f>IFERROR(__xludf.DUMMYFUNCTION("""COMPUTED_VALUE"""),"No salary data")</f>
        <v>No salary data</v>
      </c>
      <c r="J1312" s="7"/>
      <c r="K1312" s="7" t="str">
        <f>IFERROR(__xludf.DUMMYFUNCTION("""COMPUTED_VALUE"""),"No job type data")</f>
        <v>No job type data</v>
      </c>
      <c r="L1312" s="7" t="str">
        <f>IFERROR(__xludf.DUMMYFUNCTION("""COMPUTED_VALUE"""),"None")</f>
        <v>None</v>
      </c>
      <c r="M1312" s="7"/>
      <c r="N1312" s="7"/>
      <c r="O1312" s="7"/>
    </row>
    <row r="1313">
      <c r="A1313" s="29">
        <f>IFERROR(__xludf.DUMMYFUNCTION("""COMPUTED_VALUE"""),1309.0)</f>
        <v>1309</v>
      </c>
      <c r="B1313" s="7" t="str">
        <f>IFERROR(__xludf.DUMMYFUNCTION("""COMPUTED_VALUE"""),"vor 17 Tagen")</f>
        <v>vor 17 Tagen</v>
      </c>
      <c r="C1313" s="7" t="str">
        <f>IFERROR(__xludf.DUMMYFUNCTION("""COMPUTED_VALUE"""),"Für Freelancer: Gaia Los 1 - Infrastruktur/ DB/ Middleware-S...")</f>
        <v>Für Freelancer: Gaia Los 1 - Infrastruktur/ DB/ Middleware-S...</v>
      </c>
      <c r="D1313" s="7" t="str">
        <f>IFERROR(__xludf.DUMMYFUNCTION("""COMPUTED_VALUE"""),"Nürnberg")</f>
        <v>Nürnberg</v>
      </c>
      <c r="E1313" s="7" t="str">
        <f>IFERROR(__xludf.DUMMYFUNCTION("""COMPUTED_VALUE"""),"None")</f>
        <v>None</v>
      </c>
      <c r="F1313" s="7" t="str">
        <f>IFERROR(__xludf.DUMMYFUNCTION("""COMPUTED_VALUE"""),"None")</f>
        <v>None</v>
      </c>
      <c r="G1313" s="7" t="str">
        <f>IFERROR(__xludf.DUMMYFUNCTION("""COMPUTED_VALUE"""),"No salary data")</f>
        <v>No salary data</v>
      </c>
      <c r="H1313" s="7" t="str">
        <f>IFERROR(__xludf.DUMMYFUNCTION("""COMPUTED_VALUE"""),"No salary data")</f>
        <v>No salary data</v>
      </c>
      <c r="I1313" s="7" t="str">
        <f>IFERROR(__xludf.DUMMYFUNCTION("""COMPUTED_VALUE"""),"No salary data")</f>
        <v>No salary data</v>
      </c>
      <c r="J1313" s="7" t="str">
        <f>IFERROR(__xludf.DUMMYFUNCTION("""COMPUTED_VALUE"""),"SQL, Linux")</f>
        <v>SQL, Linux</v>
      </c>
      <c r="K1313" s="7" t="str">
        <f>IFERROR(__xludf.DUMMYFUNCTION("""COMPUTED_VALUE"""),"No job type data")</f>
        <v>No job type data</v>
      </c>
      <c r="L1313" s="7" t="str">
        <f>IFERROR(__xludf.DUMMYFUNCTION("""COMPUTED_VALUE"""),"None")</f>
        <v>None</v>
      </c>
      <c r="M1313" s="7"/>
      <c r="N1313" s="7"/>
      <c r="O1313" s="7"/>
    </row>
    <row r="1314">
      <c r="A1314" s="29">
        <f>IFERROR(__xludf.DUMMYFUNCTION("""COMPUTED_VALUE"""),1310.0)</f>
        <v>1310</v>
      </c>
      <c r="B1314" s="7" t="str">
        <f>IFERROR(__xludf.DUMMYFUNCTION("""COMPUTED_VALUE"""),"vor 3 Tagen")</f>
        <v>vor 3 Tagen</v>
      </c>
      <c r="C1314" s="7" t="str">
        <f>IFERROR(__xludf.DUMMYFUNCTION("""COMPUTED_VALUE"""),"Für Freelancer: Interim Business Intelligence Director (m/w/...")</f>
        <v>Für Freelancer: Interim Business Intelligence Director (m/w/...</v>
      </c>
      <c r="D1314" s="7" t="str">
        <f>IFERROR(__xludf.DUMMYFUNCTION("""COMPUTED_VALUE"""),"Bonn")</f>
        <v>Bonn</v>
      </c>
      <c r="E1314" s="7" t="str">
        <f>IFERROR(__xludf.DUMMYFUNCTION("""COMPUTED_VALUE"""),"None")</f>
        <v>None</v>
      </c>
      <c r="F1314" s="7" t="str">
        <f>IFERROR(__xludf.DUMMYFUNCTION("""COMPUTED_VALUE"""),"None")</f>
        <v>None</v>
      </c>
      <c r="G1314" s="7" t="str">
        <f>IFERROR(__xludf.DUMMYFUNCTION("""COMPUTED_VALUE"""),"No salary data")</f>
        <v>No salary data</v>
      </c>
      <c r="H1314" s="7" t="str">
        <f>IFERROR(__xludf.DUMMYFUNCTION("""COMPUTED_VALUE"""),"No salary data")</f>
        <v>No salary data</v>
      </c>
      <c r="I1314" s="7" t="str">
        <f>IFERROR(__xludf.DUMMYFUNCTION("""COMPUTED_VALUE"""),"No salary data")</f>
        <v>No salary data</v>
      </c>
      <c r="J1314" s="7" t="str">
        <f>IFERROR(__xludf.DUMMYFUNCTION("""COMPUTED_VALUE"""),"SQL, Tableau, Excel")</f>
        <v>SQL, Tableau, Excel</v>
      </c>
      <c r="K1314" s="7" t="str">
        <f>IFERROR(__xludf.DUMMYFUNCTION("""COMPUTED_VALUE"""),"No job type data")</f>
        <v>No job type data</v>
      </c>
      <c r="L1314" s="7" t="str">
        <f>IFERROR(__xludf.DUMMYFUNCTION("""COMPUTED_VALUE"""),"None")</f>
        <v>None</v>
      </c>
      <c r="M1314" s="7"/>
      <c r="N1314" s="7"/>
      <c r="O1314" s="7"/>
    </row>
    <row r="1315">
      <c r="A1315" s="29">
        <f>IFERROR(__xludf.DUMMYFUNCTION("""COMPUTED_VALUE"""),1311.0)</f>
        <v>1311</v>
      </c>
      <c r="B1315" s="7" t="str">
        <f>IFERROR(__xludf.DUMMYFUNCTION("""COMPUTED_VALUE"""),"vor 17 Tagen")</f>
        <v>vor 17 Tagen</v>
      </c>
      <c r="C1315" s="7" t="str">
        <f>IFERROR(__xludf.DUMMYFUNCTION("""COMPUTED_VALUE"""),"Für Freelancer: DWH (Senior) Consultant mit Data Vault Erfah...")</f>
        <v>Für Freelancer: DWH (Senior) Consultant mit Data Vault Erfah...</v>
      </c>
      <c r="D1315" s="7" t="str">
        <f>IFERROR(__xludf.DUMMYFUNCTION("""COMPUTED_VALUE"""),"München")</f>
        <v>München</v>
      </c>
      <c r="E1315" s="7" t="str">
        <f>IFERROR(__xludf.DUMMYFUNCTION("""COMPUTED_VALUE"""),"None")</f>
        <v>None</v>
      </c>
      <c r="F1315" s="7" t="str">
        <f>IFERROR(__xludf.DUMMYFUNCTION("""COMPUTED_VALUE"""),"None")</f>
        <v>None</v>
      </c>
      <c r="G1315" s="7" t="str">
        <f>IFERROR(__xludf.DUMMYFUNCTION("""COMPUTED_VALUE"""),"No salary data")</f>
        <v>No salary data</v>
      </c>
      <c r="H1315" s="7" t="str">
        <f>IFERROR(__xludf.DUMMYFUNCTION("""COMPUTED_VALUE"""),"No salary data")</f>
        <v>No salary data</v>
      </c>
      <c r="I1315" s="7" t="str">
        <f>IFERROR(__xludf.DUMMYFUNCTION("""COMPUTED_VALUE"""),"No salary data")</f>
        <v>No salary data</v>
      </c>
      <c r="J1315" s="7"/>
      <c r="K1315" s="7" t="str">
        <f>IFERROR(__xludf.DUMMYFUNCTION("""COMPUTED_VALUE"""),"No job type data")</f>
        <v>No job type data</v>
      </c>
      <c r="L1315" s="7" t="str">
        <f>IFERROR(__xludf.DUMMYFUNCTION("""COMPUTED_VALUE"""),"None")</f>
        <v>None</v>
      </c>
      <c r="M1315" s="7"/>
      <c r="N1315" s="7"/>
      <c r="O1315" s="7"/>
    </row>
    <row r="1316">
      <c r="A1316" s="29">
        <f>IFERROR(__xludf.DUMMYFUNCTION("""COMPUTED_VALUE"""),1312.0)</f>
        <v>1312</v>
      </c>
      <c r="B1316" s="7" t="str">
        <f>IFERROR(__xludf.DUMMYFUNCTION("""COMPUTED_VALUE"""),"vor 5 Tagen")</f>
        <v>vor 5 Tagen</v>
      </c>
      <c r="C1316" s="7" t="str">
        <f>IFERROR(__xludf.DUMMYFUNCTION("""COMPUTED_VALUE"""),"Für Freelancer: Projektleiter IT Infrastruktur (m/w/d) - Dat...")</f>
        <v>Für Freelancer: Projektleiter IT Infrastruktur (m/w/d) - Dat...</v>
      </c>
      <c r="D1316" s="7" t="str">
        <f>IFERROR(__xludf.DUMMYFUNCTION("""COMPUTED_VALUE"""),"Köln")</f>
        <v>Köln</v>
      </c>
      <c r="E1316" s="7" t="str">
        <f>IFERROR(__xludf.DUMMYFUNCTION("""COMPUTED_VALUE"""),"None")</f>
        <v>None</v>
      </c>
      <c r="F1316" s="7" t="str">
        <f>IFERROR(__xludf.DUMMYFUNCTION("""COMPUTED_VALUE"""),"None")</f>
        <v>None</v>
      </c>
      <c r="G1316" s="7" t="str">
        <f>IFERROR(__xludf.DUMMYFUNCTION("""COMPUTED_VALUE"""),"No salary data")</f>
        <v>No salary data</v>
      </c>
      <c r="H1316" s="7" t="str">
        <f>IFERROR(__xludf.DUMMYFUNCTION("""COMPUTED_VALUE"""),"No salary data")</f>
        <v>No salary data</v>
      </c>
      <c r="I1316" s="7" t="str">
        <f>IFERROR(__xludf.DUMMYFUNCTION("""COMPUTED_VALUE"""),"No salary data")</f>
        <v>No salary data</v>
      </c>
      <c r="J1316" s="7"/>
      <c r="K1316" s="7" t="str">
        <f>IFERROR(__xludf.DUMMYFUNCTION("""COMPUTED_VALUE"""),"No job type data")</f>
        <v>No job type data</v>
      </c>
      <c r="L1316" s="7" t="str">
        <f>IFERROR(__xludf.DUMMYFUNCTION("""COMPUTED_VALUE"""),"None")</f>
        <v>None</v>
      </c>
      <c r="M1316" s="7"/>
      <c r="N1316" s="7"/>
      <c r="O1316" s="7"/>
    </row>
    <row r="1317">
      <c r="A1317" s="29">
        <f>IFERROR(__xludf.DUMMYFUNCTION("""COMPUTED_VALUE"""),1313.0)</f>
        <v>1313</v>
      </c>
      <c r="B1317" s="7" t="str">
        <f>IFERROR(__xludf.DUMMYFUNCTION("""COMPUTED_VALUE"""),"vor 14 Tagen")</f>
        <v>vor 14 Tagen</v>
      </c>
      <c r="C1317" s="7" t="str">
        <f>IFERROR(__xludf.DUMMYFUNCTION("""COMPUTED_VALUE"""),"Für Freelancer: Freiberuflicher BI-Entwickler (m/w/d) in Mün...")</f>
        <v>Für Freelancer: Freiberuflicher BI-Entwickler (m/w/d) in Mün...</v>
      </c>
      <c r="D1317" s="7" t="str">
        <f>IFERROR(__xludf.DUMMYFUNCTION("""COMPUTED_VALUE"""),"München")</f>
        <v>München</v>
      </c>
      <c r="E1317" s="7" t="str">
        <f>IFERROR(__xludf.DUMMYFUNCTION("""COMPUTED_VALUE"""),"None")</f>
        <v>None</v>
      </c>
      <c r="F1317" s="7" t="str">
        <f>IFERROR(__xludf.DUMMYFUNCTION("""COMPUTED_VALUE"""),"None")</f>
        <v>None</v>
      </c>
      <c r="G1317" s="7" t="str">
        <f>IFERROR(__xludf.DUMMYFUNCTION("""COMPUTED_VALUE"""),"No salary data")</f>
        <v>No salary data</v>
      </c>
      <c r="H1317" s="7" t="str">
        <f>IFERROR(__xludf.DUMMYFUNCTION("""COMPUTED_VALUE"""),"No salary data")</f>
        <v>No salary data</v>
      </c>
      <c r="I1317" s="7" t="str">
        <f>IFERROR(__xludf.DUMMYFUNCTION("""COMPUTED_VALUE"""),"No salary data")</f>
        <v>No salary data</v>
      </c>
      <c r="J1317" s="7" t="str">
        <f>IFERROR(__xludf.DUMMYFUNCTION("""COMPUTED_VALUE"""),"Tableau")</f>
        <v>Tableau</v>
      </c>
      <c r="K1317" s="7" t="str">
        <f>IFERROR(__xludf.DUMMYFUNCTION("""COMPUTED_VALUE"""),"No job type data")</f>
        <v>No job type data</v>
      </c>
      <c r="L1317" s="7" t="str">
        <f>IFERROR(__xludf.DUMMYFUNCTION("""COMPUTED_VALUE"""),"None")</f>
        <v>None</v>
      </c>
      <c r="M1317" s="7"/>
      <c r="N1317" s="7"/>
      <c r="O1317" s="7"/>
    </row>
    <row r="1318">
      <c r="A1318" s="29">
        <f>IFERROR(__xludf.DUMMYFUNCTION("""COMPUTED_VALUE"""),1314.0)</f>
        <v>1314</v>
      </c>
      <c r="B1318" s="7" t="str">
        <f>IFERROR(__xludf.DUMMYFUNCTION("""COMPUTED_VALUE"""),"vor 12 Tagen")</f>
        <v>vor 12 Tagen</v>
      </c>
      <c r="C1318" s="7" t="str">
        <f>IFERROR(__xludf.DUMMYFUNCTION("""COMPUTED_VALUE"""),"Für Freelancer: Systemingenieur (m/w/d)")</f>
        <v>Für Freelancer: Systemingenieur (m/w/d)</v>
      </c>
      <c r="D1318" s="7" t="str">
        <f>IFERROR(__xludf.DUMMYFUNCTION("""COMPUTED_VALUE"""),"Home Office")</f>
        <v>Home Office</v>
      </c>
      <c r="E1318" s="7" t="str">
        <f>IFERROR(__xludf.DUMMYFUNCTION("""COMPUTED_VALUE"""),"None")</f>
        <v>None</v>
      </c>
      <c r="F1318" s="7" t="str">
        <f>IFERROR(__xludf.DUMMYFUNCTION("""COMPUTED_VALUE"""),"None")</f>
        <v>None</v>
      </c>
      <c r="G1318" s="7" t="str">
        <f>IFERROR(__xludf.DUMMYFUNCTION("""COMPUTED_VALUE"""),"No salary data")</f>
        <v>No salary data</v>
      </c>
      <c r="H1318" s="7" t="str">
        <f>IFERROR(__xludf.DUMMYFUNCTION("""COMPUTED_VALUE"""),"No salary data")</f>
        <v>No salary data</v>
      </c>
      <c r="I1318" s="7" t="str">
        <f>IFERROR(__xludf.DUMMYFUNCTION("""COMPUTED_VALUE"""),"No salary data")</f>
        <v>No salary data</v>
      </c>
      <c r="J1318" s="7"/>
      <c r="K1318" s="7" t="str">
        <f>IFERROR(__xludf.DUMMYFUNCTION("""COMPUTED_VALUE"""),"No job type data")</f>
        <v>No job type data</v>
      </c>
      <c r="L1318" s="7" t="str">
        <f>IFERROR(__xludf.DUMMYFUNCTION("""COMPUTED_VALUE"""),"None")</f>
        <v>None</v>
      </c>
      <c r="M1318" s="7"/>
      <c r="N1318" s="7"/>
      <c r="O1318" s="7"/>
    </row>
    <row r="1319">
      <c r="A1319" s="29">
        <f>IFERROR(__xludf.DUMMYFUNCTION("""COMPUTED_VALUE"""),1315.0)</f>
        <v>1315</v>
      </c>
      <c r="B1319" s="7" t="str">
        <f>IFERROR(__xludf.DUMMYFUNCTION("""COMPUTED_VALUE"""),"Vor mehr als 30 Tagen")</f>
        <v>Vor mehr als 30 Tagen</v>
      </c>
      <c r="C1319" s="7" t="str">
        <f>IFERROR(__xludf.DUMMYFUNCTION("""COMPUTED_VALUE"""),"Junior Big Data and Stream Processing Engineer (m/w/d) - Bus...")</f>
        <v>Junior Big Data and Stream Processing Engineer (m/w/d) - Bus...</v>
      </c>
      <c r="D1319" s="7" t="str">
        <f>IFERROR(__xludf.DUMMYFUNCTION("""COMPUTED_VALUE"""),"München")</f>
        <v>München</v>
      </c>
      <c r="E1319" s="7" t="str">
        <f>IFERROR(__xludf.DUMMYFUNCTION("""COMPUTED_VALUE"""),"Reply AG")</f>
        <v>Reply AG</v>
      </c>
      <c r="F1319" s="7" t="str">
        <f>IFERROR(__xludf.DUMMYFUNCTION("""COMPUTED_VALUE"""),"None")</f>
        <v>None</v>
      </c>
      <c r="G1319" s="7" t="str">
        <f>IFERROR(__xludf.DUMMYFUNCTION("""COMPUTED_VALUE"""),"No salary data")</f>
        <v>No salary data</v>
      </c>
      <c r="H1319" s="7" t="str">
        <f>IFERROR(__xludf.DUMMYFUNCTION("""COMPUTED_VALUE"""),"No salary data")</f>
        <v>No salary data</v>
      </c>
      <c r="I1319" s="7" t="str">
        <f>IFERROR(__xludf.DUMMYFUNCTION("""COMPUTED_VALUE"""),"No salary data")</f>
        <v>No salary data</v>
      </c>
      <c r="J1319" s="7" t="str">
        <f>IFERROR(__xludf.DUMMYFUNCTION("""COMPUTED_VALUE"""),"Python, Git")</f>
        <v>Python, Git</v>
      </c>
      <c r="K1319" s="7" t="str">
        <f>IFERROR(__xludf.DUMMYFUNCTION("""COMPUTED_VALUE"""),"No job type data")</f>
        <v>No job type data</v>
      </c>
      <c r="L1319" s="7" t="str">
        <f>IFERROR(__xludf.DUMMYFUNCTION("""COMPUTED_VALUE"""),"None")</f>
        <v>None</v>
      </c>
      <c r="M1319" s="7"/>
      <c r="N1319" s="7"/>
      <c r="O1319" s="7"/>
    </row>
    <row r="1320">
      <c r="A1320" s="29">
        <f>IFERROR(__xludf.DUMMYFUNCTION("""COMPUTED_VALUE"""),1316.0)</f>
        <v>1316</v>
      </c>
      <c r="B1320" s="7" t="str">
        <f>IFERROR(__xludf.DUMMYFUNCTION("""COMPUTED_VALUE"""),"Vor mehr als 30 Tagen")</f>
        <v>Vor mehr als 30 Tagen</v>
      </c>
      <c r="C1320" s="7" t="str">
        <f>IFERROR(__xludf.DUMMYFUNCTION("""COMPUTED_VALUE"""),"Data Scientist (m/w/d) in der Medizintechnik - Datenbankentw...")</f>
        <v>Data Scientist (m/w/d) in der Medizintechnik - Datenbankentw...</v>
      </c>
      <c r="D1320" s="7" t="str">
        <f>IFERROR(__xludf.DUMMYFUNCTION("""COMPUTED_VALUE"""),"Frankfurt am Main")</f>
        <v>Frankfurt am Main</v>
      </c>
      <c r="E1320" s="7" t="str">
        <f>IFERROR(__xludf.DUMMYFUNCTION("""COMPUTED_VALUE"""),"Global Market Solutions")</f>
        <v>Global Market Solutions</v>
      </c>
      <c r="F1320" s="7" t="str">
        <f>IFERROR(__xludf.DUMMYFUNCTION("""COMPUTED_VALUE"""),"None")</f>
        <v>None</v>
      </c>
      <c r="G1320" s="7" t="str">
        <f>IFERROR(__xludf.DUMMYFUNCTION("""COMPUTED_VALUE"""),"No salary data")</f>
        <v>No salary data</v>
      </c>
      <c r="H1320" s="7" t="str">
        <f>IFERROR(__xludf.DUMMYFUNCTION("""COMPUTED_VALUE"""),"No salary data")</f>
        <v>No salary data</v>
      </c>
      <c r="I1320" s="7" t="str">
        <f>IFERROR(__xludf.DUMMYFUNCTION("""COMPUTED_VALUE"""),"No salary data")</f>
        <v>No salary data</v>
      </c>
      <c r="J1320" s="7" t="str">
        <f>IFERROR(__xludf.DUMMYFUNCTION("""COMPUTED_VALUE"""),"Python, Machine Learning, Agile, Scrum")</f>
        <v>Python, Machine Learning, Agile, Scrum</v>
      </c>
      <c r="K1320" s="7" t="str">
        <f>IFERROR(__xludf.DUMMYFUNCTION("""COMPUTED_VALUE"""),"No job type data")</f>
        <v>No job type data</v>
      </c>
      <c r="L1320" s="7" t="str">
        <f>IFERROR(__xludf.DUMMYFUNCTION("""COMPUTED_VALUE"""),"None")</f>
        <v>None</v>
      </c>
      <c r="M1320" s="7"/>
      <c r="N1320" s="7"/>
      <c r="O1320" s="7"/>
    </row>
    <row r="1321">
      <c r="A1321" s="29">
        <f>IFERROR(__xludf.DUMMYFUNCTION("""COMPUTED_VALUE"""),1317.0)</f>
        <v>1317</v>
      </c>
      <c r="B1321" s="7" t="str">
        <f>IFERROR(__xludf.DUMMYFUNCTION("""COMPUTED_VALUE"""),"Vor mehr als 30 Tagen")</f>
        <v>Vor mehr als 30 Tagen</v>
      </c>
      <c r="C1321" s="7" t="str">
        <f>IFERROR(__xludf.DUMMYFUNCTION("""COMPUTED_VALUE"""),"Digital Trainee „New Digital Business” (w/m/d) - Datenbanken...")</f>
        <v>Digital Trainee „New Digital Business” (w/m/d) - Datenbanken...</v>
      </c>
      <c r="D1321" s="7" t="str">
        <f>IFERROR(__xludf.DUMMYFUNCTION("""COMPUTED_VALUE"""),"Berlin")</f>
        <v>Berlin</v>
      </c>
      <c r="E1321" s="7" t="str">
        <f>IFERROR(__xludf.DUMMYFUNCTION("""COMPUTED_VALUE"""),"Deutsche Bahn AG")</f>
        <v>Deutsche Bahn AG</v>
      </c>
      <c r="F1321" s="7" t="str">
        <f>IFERROR(__xludf.DUMMYFUNCTION("""COMPUTED_VALUE"""),"None")</f>
        <v>None</v>
      </c>
      <c r="G1321" s="7" t="str">
        <f>IFERROR(__xludf.DUMMYFUNCTION("""COMPUTED_VALUE"""),"No salary data")</f>
        <v>No salary data</v>
      </c>
      <c r="H1321" s="7" t="str">
        <f>IFERROR(__xludf.DUMMYFUNCTION("""COMPUTED_VALUE"""),"No salary data")</f>
        <v>No salary data</v>
      </c>
      <c r="I1321" s="7" t="str">
        <f>IFERROR(__xludf.DUMMYFUNCTION("""COMPUTED_VALUE"""),"No salary data")</f>
        <v>No salary data</v>
      </c>
      <c r="J1321" s="7" t="str">
        <f>IFERROR(__xludf.DUMMYFUNCTION("""COMPUTED_VALUE"""),"Git, Agile")</f>
        <v>Git, Agile</v>
      </c>
      <c r="K1321" s="7" t="str">
        <f>IFERROR(__xludf.DUMMYFUNCTION("""COMPUTED_VALUE"""),"No job type data")</f>
        <v>No job type data</v>
      </c>
      <c r="L1321" s="7" t="str">
        <f>IFERROR(__xludf.DUMMYFUNCTION("""COMPUTED_VALUE"""),"3,5")</f>
        <v>3,5</v>
      </c>
      <c r="M1321" s="7"/>
      <c r="N1321" s="7"/>
      <c r="O1321" s="7"/>
    </row>
    <row r="1322">
      <c r="A1322" s="29">
        <f>IFERROR(__xludf.DUMMYFUNCTION("""COMPUTED_VALUE"""),1318.0)</f>
        <v>1318</v>
      </c>
      <c r="B1322" s="7" t="str">
        <f>IFERROR(__xludf.DUMMYFUNCTION("""COMPUTED_VALUE"""),"vor 12 Tagen")</f>
        <v>vor 12 Tagen</v>
      </c>
      <c r="C1322" s="7" t="str">
        <f>IFERROR(__xludf.DUMMYFUNCTION("""COMPUTED_VALUE"""),"Für Freelancer: DevOps Engineer (w/m/d) mit Azure IoT Hub Pr...")</f>
        <v>Für Freelancer: DevOps Engineer (w/m/d) mit Azure IoT Hub Pr...</v>
      </c>
      <c r="D1322" s="7" t="str">
        <f>IFERROR(__xludf.DUMMYFUNCTION("""COMPUTED_VALUE"""),"Ludwigsburg")</f>
        <v>Ludwigsburg</v>
      </c>
      <c r="E1322" s="7" t="str">
        <f>IFERROR(__xludf.DUMMYFUNCTION("""COMPUTED_VALUE"""),"None")</f>
        <v>None</v>
      </c>
      <c r="F1322" s="7" t="str">
        <f>IFERROR(__xludf.DUMMYFUNCTION("""COMPUTED_VALUE"""),"None")</f>
        <v>None</v>
      </c>
      <c r="G1322" s="7" t="str">
        <f>IFERROR(__xludf.DUMMYFUNCTION("""COMPUTED_VALUE"""),"No salary data")</f>
        <v>No salary data</v>
      </c>
      <c r="H1322" s="7" t="str">
        <f>IFERROR(__xludf.DUMMYFUNCTION("""COMPUTED_VALUE"""),"No salary data")</f>
        <v>No salary data</v>
      </c>
      <c r="I1322" s="7" t="str">
        <f>IFERROR(__xludf.DUMMYFUNCTION("""COMPUTED_VALUE"""),"No salary data")</f>
        <v>No salary data</v>
      </c>
      <c r="J1322" s="7" t="str">
        <f>IFERROR(__xludf.DUMMYFUNCTION("""COMPUTED_VALUE"""),"Git")</f>
        <v>Git</v>
      </c>
      <c r="K1322" s="7" t="str">
        <f>IFERROR(__xludf.DUMMYFUNCTION("""COMPUTED_VALUE"""),"No job type data")</f>
        <v>No job type data</v>
      </c>
      <c r="L1322" s="7" t="str">
        <f>IFERROR(__xludf.DUMMYFUNCTION("""COMPUTED_VALUE"""),"None")</f>
        <v>None</v>
      </c>
      <c r="M1322" s="7"/>
      <c r="N1322" s="7"/>
      <c r="O1322" s="7"/>
    </row>
    <row r="1323">
      <c r="A1323" s="29">
        <f>IFERROR(__xludf.DUMMYFUNCTION("""COMPUTED_VALUE"""),1319.0)</f>
        <v>1319</v>
      </c>
      <c r="B1323" s="7" t="str">
        <f>IFERROR(__xludf.DUMMYFUNCTION("""COMPUTED_VALUE"""),"vor 3 Tagen")</f>
        <v>vor 3 Tagen</v>
      </c>
      <c r="C1323" s="7" t="str">
        <f>IFERROR(__xludf.DUMMYFUNCTION("""COMPUTED_VALUE"""),"Impact Evaluation/Data Manager (m/w/d) für Entwicklungsproje...")</f>
        <v>Impact Evaluation/Data Manager (m/w/d) für Entwicklungsproje...</v>
      </c>
      <c r="D1323" s="7" t="str">
        <f>IFERROR(__xludf.DUMMYFUNCTION("""COMPUTED_VALUE"""),"Hamburg")</f>
        <v>Hamburg</v>
      </c>
      <c r="E1323" s="7" t="str">
        <f>IFERROR(__xludf.DUMMYFUNCTION("""COMPUTED_VALUE"""),"Max und Ingeburg Herz Stiftung (MIHS)")</f>
        <v>Max und Ingeburg Herz Stiftung (MIHS)</v>
      </c>
      <c r="F1323" s="7" t="str">
        <f>IFERROR(__xludf.DUMMYFUNCTION("""COMPUTED_VALUE"""),"None")</f>
        <v>None</v>
      </c>
      <c r="G1323" s="7" t="str">
        <f>IFERROR(__xludf.DUMMYFUNCTION("""COMPUTED_VALUE"""),"No salary data")</f>
        <v>No salary data</v>
      </c>
      <c r="H1323" s="7" t="str">
        <f>IFERROR(__xludf.DUMMYFUNCTION("""COMPUTED_VALUE"""),"No salary data")</f>
        <v>No salary data</v>
      </c>
      <c r="I1323" s="7" t="str">
        <f>IFERROR(__xludf.DUMMYFUNCTION("""COMPUTED_VALUE"""),"No salary data")</f>
        <v>No salary data</v>
      </c>
      <c r="J1323" s="7" t="str">
        <f>IFERROR(__xludf.DUMMYFUNCTION("""COMPUTED_VALUE"""),"SQL")</f>
        <v>SQL</v>
      </c>
      <c r="K1323" s="7" t="str">
        <f>IFERROR(__xludf.DUMMYFUNCTION("""COMPUTED_VALUE"""),"No job type data")</f>
        <v>No job type data</v>
      </c>
      <c r="L1323" s="7" t="str">
        <f>IFERROR(__xludf.DUMMYFUNCTION("""COMPUTED_VALUE"""),"None")</f>
        <v>None</v>
      </c>
      <c r="M1323" s="7"/>
      <c r="N1323" s="7"/>
      <c r="O1323" s="7"/>
    </row>
    <row r="1324">
      <c r="A1324" s="29">
        <f>IFERROR(__xludf.DUMMYFUNCTION("""COMPUTED_VALUE"""),1320.0)</f>
        <v>1320</v>
      </c>
      <c r="B1324" s="7" t="str">
        <f>IFERROR(__xludf.DUMMYFUNCTION("""COMPUTED_VALUE"""),"Vor mehr als 30 Tagen")</f>
        <v>Vor mehr als 30 Tagen</v>
      </c>
      <c r="C1324" s="7" t="str">
        <f>IFERROR(__xludf.DUMMYFUNCTION("""COMPUTED_VALUE"""),"Junior IT-Consultant (m/w/d) im Bereich BI / Analytics - Con...")</f>
        <v>Junior IT-Consultant (m/w/d) im Bereich BI / Analytics - Con...</v>
      </c>
      <c r="D1324" s="7" t="str">
        <f>IFERROR(__xludf.DUMMYFUNCTION("""COMPUTED_VALUE"""),"Böblingen")</f>
        <v>Böblingen</v>
      </c>
      <c r="E1324" s="7" t="str">
        <f>IFERROR(__xludf.DUMMYFUNCTION("""COMPUTED_VALUE"""),"ec4u expert consulting ag")</f>
        <v>ec4u expert consulting ag</v>
      </c>
      <c r="F1324" s="7" t="str">
        <f>IFERROR(__xludf.DUMMYFUNCTION("""COMPUTED_VALUE"""),"None")</f>
        <v>None</v>
      </c>
      <c r="G1324" s="7" t="str">
        <f>IFERROR(__xludf.DUMMYFUNCTION("""COMPUTED_VALUE"""),"No salary data")</f>
        <v>No salary data</v>
      </c>
      <c r="H1324" s="7" t="str">
        <f>IFERROR(__xludf.DUMMYFUNCTION("""COMPUTED_VALUE"""),"No salary data")</f>
        <v>No salary data</v>
      </c>
      <c r="I1324" s="7" t="str">
        <f>IFERROR(__xludf.DUMMYFUNCTION("""COMPUTED_VALUE"""),"No salary data")</f>
        <v>No salary data</v>
      </c>
      <c r="J1324" s="7" t="str">
        <f>IFERROR(__xludf.DUMMYFUNCTION("""COMPUTED_VALUE"""),"Python, SQL, Tableau, Machine Learning")</f>
        <v>Python, SQL, Tableau, Machine Learning</v>
      </c>
      <c r="K1324" s="7" t="str">
        <f>IFERROR(__xludf.DUMMYFUNCTION("""COMPUTED_VALUE"""),"No job type data")</f>
        <v>No job type data</v>
      </c>
      <c r="L1324" s="7" t="str">
        <f>IFERROR(__xludf.DUMMYFUNCTION("""COMPUTED_VALUE"""),"None")</f>
        <v>None</v>
      </c>
      <c r="M1324" s="7"/>
      <c r="N1324" s="7"/>
      <c r="O1324" s="7"/>
    </row>
    <row r="1325">
      <c r="A1325" s="29">
        <f>IFERROR(__xludf.DUMMYFUNCTION("""COMPUTED_VALUE"""),1321.0)</f>
        <v>1321</v>
      </c>
      <c r="B1325" s="7" t="str">
        <f>IFERROR(__xludf.DUMMYFUNCTION("""COMPUTED_VALUE"""),"Heute")</f>
        <v>Heute</v>
      </c>
      <c r="C1325" s="7" t="str">
        <f>IFERROR(__xludf.DUMMYFUNCTION("""COMPUTED_VALUE"""),"Wolkenschubser (m/w/d) - Anwendungsentwicklung, Datenbankent...")</f>
        <v>Wolkenschubser (m/w/d) - Anwendungsentwicklung, Datenbankent...</v>
      </c>
      <c r="D1325" s="7" t="str">
        <f>IFERROR(__xludf.DUMMYFUNCTION("""COMPUTED_VALUE"""),"München")</f>
        <v>München</v>
      </c>
      <c r="E1325" s="7" t="str">
        <f>IFERROR(__xludf.DUMMYFUNCTION("""COMPUTED_VALUE"""),"b.telligent GmbH &amp; Co. KG")</f>
        <v>b.telligent GmbH &amp; Co. KG</v>
      </c>
      <c r="F1325" s="7" t="str">
        <f>IFERROR(__xludf.DUMMYFUNCTION("""COMPUTED_VALUE"""),"None")</f>
        <v>None</v>
      </c>
      <c r="G1325" s="7" t="str">
        <f>IFERROR(__xludf.DUMMYFUNCTION("""COMPUTED_VALUE"""),"No salary data")</f>
        <v>No salary data</v>
      </c>
      <c r="H1325" s="7" t="str">
        <f>IFERROR(__xludf.DUMMYFUNCTION("""COMPUTED_VALUE"""),"No salary data")</f>
        <v>No salary data</v>
      </c>
      <c r="I1325" s="7" t="str">
        <f>IFERROR(__xludf.DUMMYFUNCTION("""COMPUTED_VALUE"""),"No salary data")</f>
        <v>No salary data</v>
      </c>
      <c r="J1325" s="7" t="str">
        <f>IFERROR(__xludf.DUMMYFUNCTION("""COMPUTED_VALUE"""),"Python, SQL")</f>
        <v>Python, SQL</v>
      </c>
      <c r="K1325" s="7" t="str">
        <f>IFERROR(__xludf.DUMMYFUNCTION("""COMPUTED_VALUE"""),"No job type data")</f>
        <v>No job type data</v>
      </c>
      <c r="L1325" s="7" t="str">
        <f>IFERROR(__xludf.DUMMYFUNCTION("""COMPUTED_VALUE"""),"None")</f>
        <v>None</v>
      </c>
      <c r="M1325" s="7"/>
      <c r="N1325" s="7"/>
      <c r="O1325" s="7"/>
    </row>
    <row r="1326">
      <c r="A1326" s="29">
        <f>IFERROR(__xludf.DUMMYFUNCTION("""COMPUTED_VALUE"""),1322.0)</f>
        <v>1322</v>
      </c>
      <c r="B1326" s="7" t="str">
        <f>IFERROR(__xludf.DUMMYFUNCTION("""COMPUTED_VALUE"""),"vor 26 Tagen")</f>
        <v>vor 26 Tagen</v>
      </c>
      <c r="C1326" s="7" t="str">
        <f>IFERROR(__xludf.DUMMYFUNCTION("""COMPUTED_VALUE"""),"Junior Web Developer (m/f/d) - Anwendungsentwicklung, IT")</f>
        <v>Junior Web Developer (m/f/d) - Anwendungsentwicklung, IT</v>
      </c>
      <c r="D1326" s="7" t="str">
        <f>IFERROR(__xludf.DUMMYFUNCTION("""COMPUTED_VALUE"""),"Bremen")</f>
        <v>Bremen</v>
      </c>
      <c r="E1326" s="7" t="str">
        <f>IFERROR(__xludf.DUMMYFUNCTION("""COMPUTED_VALUE"""),"KING Art GmbH")</f>
        <v>KING Art GmbH</v>
      </c>
      <c r="F1326" s="7" t="str">
        <f>IFERROR(__xludf.DUMMYFUNCTION("""COMPUTED_VALUE"""),"None")</f>
        <v>None</v>
      </c>
      <c r="G1326" s="7" t="str">
        <f>IFERROR(__xludf.DUMMYFUNCTION("""COMPUTED_VALUE"""),"No salary data")</f>
        <v>No salary data</v>
      </c>
      <c r="H1326" s="7" t="str">
        <f>IFERROR(__xludf.DUMMYFUNCTION("""COMPUTED_VALUE"""),"No salary data")</f>
        <v>No salary data</v>
      </c>
      <c r="I1326" s="7" t="str">
        <f>IFERROR(__xludf.DUMMYFUNCTION("""COMPUTED_VALUE"""),"No salary data")</f>
        <v>No salary data</v>
      </c>
      <c r="J1326" s="7" t="str">
        <f>IFERROR(__xludf.DUMMYFUNCTION("""COMPUTED_VALUE"""),"SQL")</f>
        <v>SQL</v>
      </c>
      <c r="K1326" s="7" t="str">
        <f>IFERROR(__xludf.DUMMYFUNCTION("""COMPUTED_VALUE"""),"No job type data")</f>
        <v>No job type data</v>
      </c>
      <c r="L1326" s="7" t="str">
        <f>IFERROR(__xludf.DUMMYFUNCTION("""COMPUTED_VALUE"""),"None")</f>
        <v>None</v>
      </c>
      <c r="M1326" s="7"/>
      <c r="N1326" s="7"/>
      <c r="O1326" s="7"/>
    </row>
    <row r="1327">
      <c r="A1327" s="29">
        <f>IFERROR(__xludf.DUMMYFUNCTION("""COMPUTED_VALUE"""),1323.0)</f>
        <v>1323</v>
      </c>
      <c r="B1327" s="7" t="str">
        <f>IFERROR(__xludf.DUMMYFUNCTION("""COMPUTED_VALUE"""),"Vor mehr als 30 Tagen")</f>
        <v>Vor mehr als 30 Tagen</v>
      </c>
      <c r="C1327" s="7" t="str">
        <f>IFERROR(__xludf.DUMMYFUNCTION("""COMPUTED_VALUE"""),"(Junior) BI Consultant Datenvisualisierung (Power BI/ Tablea...")</f>
        <v>(Junior) BI Consultant Datenvisualisierung (Power BI/ Tablea...</v>
      </c>
      <c r="D1327" s="7" t="str">
        <f>IFERROR(__xludf.DUMMYFUNCTION("""COMPUTED_VALUE"""),"Stuttgart")</f>
        <v>Stuttgart</v>
      </c>
      <c r="E1327" s="7" t="str">
        <f>IFERROR(__xludf.DUMMYFUNCTION("""COMPUTED_VALUE"""),"KI Professionals GmbH")</f>
        <v>KI Professionals GmbH</v>
      </c>
      <c r="F1327" s="7" t="str">
        <f>IFERROR(__xludf.DUMMYFUNCTION("""COMPUTED_VALUE"""),"None")</f>
        <v>None</v>
      </c>
      <c r="G1327" s="7" t="str">
        <f>IFERROR(__xludf.DUMMYFUNCTION("""COMPUTED_VALUE"""),"No salary data")</f>
        <v>No salary data</v>
      </c>
      <c r="H1327" s="7" t="str">
        <f>IFERROR(__xludf.DUMMYFUNCTION("""COMPUTED_VALUE"""),"No salary data")</f>
        <v>No salary data</v>
      </c>
      <c r="I1327" s="7" t="str">
        <f>IFERROR(__xludf.DUMMYFUNCTION("""COMPUTED_VALUE"""),"No salary data")</f>
        <v>No salary data</v>
      </c>
      <c r="J1327" s="7" t="str">
        <f>IFERROR(__xludf.DUMMYFUNCTION("""COMPUTED_VALUE"""),"SQL, Tableau")</f>
        <v>SQL, Tableau</v>
      </c>
      <c r="K1327" s="7" t="str">
        <f>IFERROR(__xludf.DUMMYFUNCTION("""COMPUTED_VALUE"""),"No job type data")</f>
        <v>No job type data</v>
      </c>
      <c r="L1327" s="7" t="str">
        <f>IFERROR(__xludf.DUMMYFUNCTION("""COMPUTED_VALUE"""),"None")</f>
        <v>None</v>
      </c>
      <c r="M1327" s="7"/>
      <c r="N1327" s="7"/>
      <c r="O1327" s="7"/>
    </row>
    <row r="1328">
      <c r="A1328" s="29">
        <f>IFERROR(__xludf.DUMMYFUNCTION("""COMPUTED_VALUE"""),1324.0)</f>
        <v>1324</v>
      </c>
      <c r="B1328" s="7" t="str">
        <f>IFERROR(__xludf.DUMMYFUNCTION("""COMPUTED_VALUE"""),"Vor mehr als 30 Tagen")</f>
        <v>Vor mehr als 30 Tagen</v>
      </c>
      <c r="C1328" s="7" t="str">
        <f>IFERROR(__xludf.DUMMYFUNCTION("""COMPUTED_VALUE"""),"Young Professionals m/w/d Informatik / Wirtschaftsinformatik...")</f>
        <v>Young Professionals m/w/d Informatik / Wirtschaftsinformatik...</v>
      </c>
      <c r="D1328" s="7" t="str">
        <f>IFERROR(__xludf.DUMMYFUNCTION("""COMPUTED_VALUE"""),"Kiel")</f>
        <v>Kiel</v>
      </c>
      <c r="E1328" s="7" t="str">
        <f>IFERROR(__xludf.DUMMYFUNCTION("""COMPUTED_VALUE"""),"Consist Software Solutions GmbH")</f>
        <v>Consist Software Solutions GmbH</v>
      </c>
      <c r="F1328" s="7" t="str">
        <f>IFERROR(__xludf.DUMMYFUNCTION("""COMPUTED_VALUE"""),"None")</f>
        <v>None</v>
      </c>
      <c r="G1328" s="7" t="str">
        <f>IFERROR(__xludf.DUMMYFUNCTION("""COMPUTED_VALUE"""),"No salary data")</f>
        <v>No salary data</v>
      </c>
      <c r="H1328" s="7" t="str">
        <f>IFERROR(__xludf.DUMMYFUNCTION("""COMPUTED_VALUE"""),"No salary data")</f>
        <v>No salary data</v>
      </c>
      <c r="I1328" s="7" t="str">
        <f>IFERROR(__xludf.DUMMYFUNCTION("""COMPUTED_VALUE"""),"No salary data")</f>
        <v>No salary data</v>
      </c>
      <c r="J1328" s="7" t="str">
        <f>IFERROR(__xludf.DUMMYFUNCTION("""COMPUTED_VALUE"""),"Git")</f>
        <v>Git</v>
      </c>
      <c r="K1328" s="7" t="str">
        <f>IFERROR(__xludf.DUMMYFUNCTION("""COMPUTED_VALUE"""),"No job type data")</f>
        <v>No job type data</v>
      </c>
      <c r="L1328" s="7" t="str">
        <f>IFERROR(__xludf.DUMMYFUNCTION("""COMPUTED_VALUE"""),"None")</f>
        <v>None</v>
      </c>
      <c r="M1328" s="7"/>
      <c r="N1328" s="7"/>
      <c r="O1328" s="7"/>
    </row>
    <row r="1329">
      <c r="A1329" s="29">
        <f>IFERROR(__xludf.DUMMYFUNCTION("""COMPUTED_VALUE"""),1325.0)</f>
        <v>1325</v>
      </c>
      <c r="B1329" s="7" t="str">
        <f>IFERROR(__xludf.DUMMYFUNCTION("""COMPUTED_VALUE"""),"Vor mehr als 30 Tagen")</f>
        <v>Vor mehr als 30 Tagen</v>
      </c>
      <c r="C1329" s="7" t="str">
        <f>IFERROR(__xludf.DUMMYFUNCTION("""COMPUTED_VALUE"""),"Software-Engineer(m/w/d) und Machine-Learning-Experte (m/w/d...")</f>
        <v>Software-Engineer(m/w/d) und Machine-Learning-Experte (m/w/d...</v>
      </c>
      <c r="D1329" s="7" t="str">
        <f>IFERROR(__xludf.DUMMYFUNCTION("""COMPUTED_VALUE"""),"Hamburg")</f>
        <v>Hamburg</v>
      </c>
      <c r="E1329" s="7" t="str">
        <f>IFERROR(__xludf.DUMMYFUNCTION("""COMPUTED_VALUE"""),"freiheit.com technologies gmbh")</f>
        <v>freiheit.com technologies gmbh</v>
      </c>
      <c r="F1329" s="7" t="str">
        <f>IFERROR(__xludf.DUMMYFUNCTION("""COMPUTED_VALUE"""),"None")</f>
        <v>None</v>
      </c>
      <c r="G1329" s="7" t="str">
        <f>IFERROR(__xludf.DUMMYFUNCTION("""COMPUTED_VALUE"""),"No salary data")</f>
        <v>No salary data</v>
      </c>
      <c r="H1329" s="7" t="str">
        <f>IFERROR(__xludf.DUMMYFUNCTION("""COMPUTED_VALUE"""),"No salary data")</f>
        <v>No salary data</v>
      </c>
      <c r="I1329" s="7" t="str">
        <f>IFERROR(__xludf.DUMMYFUNCTION("""COMPUTED_VALUE"""),"No salary data")</f>
        <v>No salary data</v>
      </c>
      <c r="J1329" s="7" t="str">
        <f>IFERROR(__xludf.DUMMYFUNCTION("""COMPUTED_VALUE"""),"Python, Machine Learning")</f>
        <v>Python, Machine Learning</v>
      </c>
      <c r="K1329" s="7" t="str">
        <f>IFERROR(__xludf.DUMMYFUNCTION("""COMPUTED_VALUE"""),"No job type data")</f>
        <v>No job type data</v>
      </c>
      <c r="L1329" s="7" t="str">
        <f>IFERROR(__xludf.DUMMYFUNCTION("""COMPUTED_VALUE"""),"None")</f>
        <v>None</v>
      </c>
      <c r="M1329" s="7"/>
      <c r="N1329" s="7"/>
      <c r="O1329" s="7"/>
    </row>
    <row r="1330">
      <c r="A1330" s="29">
        <f>IFERROR(__xludf.DUMMYFUNCTION("""COMPUTED_VALUE"""),1326.0)</f>
        <v>1326</v>
      </c>
      <c r="B1330" s="7" t="str">
        <f>IFERROR(__xludf.DUMMYFUNCTION("""COMPUTED_VALUE"""),"Heute")</f>
        <v>Heute</v>
      </c>
      <c r="C1330" s="7" t="str">
        <f>IFERROR(__xludf.DUMMYFUNCTION("""COMPUTED_VALUE"""),"Praktikum Digitalisierung / Industrie 4.0 (m/w/d) - Datenban...")</f>
        <v>Praktikum Digitalisierung / Industrie 4.0 (m/w/d) - Datenban...</v>
      </c>
      <c r="D1330" s="7" t="str">
        <f>IFERROR(__xludf.DUMMYFUNCTION("""COMPUTED_VALUE"""),"Schwarzheide")</f>
        <v>Schwarzheide</v>
      </c>
      <c r="E1330" s="7" t="str">
        <f>IFERROR(__xludf.DUMMYFUNCTION("""COMPUTED_VALUE"""),"BASF SE")</f>
        <v>BASF SE</v>
      </c>
      <c r="F1330" s="7" t="str">
        <f>IFERROR(__xludf.DUMMYFUNCTION("""COMPUTED_VALUE"""),"None")</f>
        <v>None</v>
      </c>
      <c r="G1330" s="7" t="str">
        <f>IFERROR(__xludf.DUMMYFUNCTION("""COMPUTED_VALUE"""),"No salary data")</f>
        <v>No salary data</v>
      </c>
      <c r="H1330" s="7" t="str">
        <f>IFERROR(__xludf.DUMMYFUNCTION("""COMPUTED_VALUE"""),"No salary data")</f>
        <v>No salary data</v>
      </c>
      <c r="I1330" s="7" t="str">
        <f>IFERROR(__xludf.DUMMYFUNCTION("""COMPUTED_VALUE"""),"No salary data")</f>
        <v>No salary data</v>
      </c>
      <c r="J1330" s="7" t="str">
        <f>IFERROR(__xludf.DUMMYFUNCTION("""COMPUTED_VALUE"""),"Python, Machine Learning, Git")</f>
        <v>Python, Machine Learning, Git</v>
      </c>
      <c r="K1330" s="7" t="str">
        <f>IFERROR(__xludf.DUMMYFUNCTION("""COMPUTED_VALUE"""),"No job type data")</f>
        <v>No job type data</v>
      </c>
      <c r="L1330" s="7" t="str">
        <f>IFERROR(__xludf.DUMMYFUNCTION("""COMPUTED_VALUE"""),"4,1")</f>
        <v>4,1</v>
      </c>
      <c r="M1330" s="7"/>
      <c r="N1330" s="7"/>
      <c r="O1330" s="7"/>
    </row>
    <row r="1331">
      <c r="A1331" s="29">
        <f>IFERROR(__xludf.DUMMYFUNCTION("""COMPUTED_VALUE"""),1327.0)</f>
        <v>1327</v>
      </c>
      <c r="B1331" s="7" t="str">
        <f>IFERROR(__xludf.DUMMYFUNCTION("""COMPUTED_VALUE"""),"Vor mehr als 30 Tagen")</f>
        <v>Vor mehr als 30 Tagen</v>
      </c>
      <c r="C1331" s="7" t="str">
        <f>IFERROR(__xludf.DUMMYFUNCTION("""COMPUTED_VALUE"""),"Analyst (m/w/d) Advanced Analytics in Operations / Automotiv...")</f>
        <v>Analyst (m/w/d) Advanced Analytics in Operations / Automotiv...</v>
      </c>
      <c r="D1331" s="7" t="str">
        <f>IFERROR(__xludf.DUMMYFUNCTION("""COMPUTED_VALUE"""),"Berlin")</f>
        <v>Berlin</v>
      </c>
      <c r="E1331" s="7" t="str">
        <f>IFERROR(__xludf.DUMMYFUNCTION("""COMPUTED_VALUE"""),"BearingPoint GmbH")</f>
        <v>BearingPoint GmbH</v>
      </c>
      <c r="F1331" s="7" t="str">
        <f>IFERROR(__xludf.DUMMYFUNCTION("""COMPUTED_VALUE"""),"None")</f>
        <v>None</v>
      </c>
      <c r="G1331" s="7" t="str">
        <f>IFERROR(__xludf.DUMMYFUNCTION("""COMPUTED_VALUE"""),"No salary data")</f>
        <v>No salary data</v>
      </c>
      <c r="H1331" s="7" t="str">
        <f>IFERROR(__xludf.DUMMYFUNCTION("""COMPUTED_VALUE"""),"No salary data")</f>
        <v>No salary data</v>
      </c>
      <c r="I1331" s="7" t="str">
        <f>IFERROR(__xludf.DUMMYFUNCTION("""COMPUTED_VALUE"""),"No salary data")</f>
        <v>No salary data</v>
      </c>
      <c r="J1331" s="7" t="str">
        <f>IFERROR(__xludf.DUMMYFUNCTION("""COMPUTED_VALUE"""),"Machine Learning, Git")</f>
        <v>Machine Learning, Git</v>
      </c>
      <c r="K1331" s="7" t="str">
        <f>IFERROR(__xludf.DUMMYFUNCTION("""COMPUTED_VALUE"""),"No job type data")</f>
        <v>No job type data</v>
      </c>
      <c r="L1331" s="7" t="str">
        <f>IFERROR(__xludf.DUMMYFUNCTION("""COMPUTED_VALUE"""),"3,2")</f>
        <v>3,2</v>
      </c>
      <c r="M1331" s="7"/>
      <c r="N1331" s="7"/>
      <c r="O1331" s="7"/>
    </row>
    <row r="1332">
      <c r="A1332" s="29">
        <f>IFERROR(__xludf.DUMMYFUNCTION("""COMPUTED_VALUE"""),1328.0)</f>
        <v>1328</v>
      </c>
      <c r="B1332" s="7" t="str">
        <f>IFERROR(__xludf.DUMMYFUNCTION("""COMPUTED_VALUE"""),"vor 6 Tagen")</f>
        <v>vor 6 Tagen</v>
      </c>
      <c r="C1332" s="7" t="str">
        <f>IFERROR(__xludf.DUMMYFUNCTION("""COMPUTED_VALUE"""),"Business Analyst (w/m/d) - Business Analysis, IT")</f>
        <v>Business Analyst (w/m/d) - Business Analysis, IT</v>
      </c>
      <c r="D1332" s="7" t="str">
        <f>IFERROR(__xludf.DUMMYFUNCTION("""COMPUTED_VALUE"""),"Karlsruhe")</f>
        <v>Karlsruhe</v>
      </c>
      <c r="E1332" s="7" t="str">
        <f>IFERROR(__xludf.DUMMYFUNCTION("""COMPUTED_VALUE"""),"EnBW Energie Baden-Württemberg AG")</f>
        <v>EnBW Energie Baden-Württemberg AG</v>
      </c>
      <c r="F1332" s="7" t="str">
        <f>IFERROR(__xludf.DUMMYFUNCTION("""COMPUTED_VALUE"""),"None")</f>
        <v>None</v>
      </c>
      <c r="G1332" s="7" t="str">
        <f>IFERROR(__xludf.DUMMYFUNCTION("""COMPUTED_VALUE"""),"No salary data")</f>
        <v>No salary data</v>
      </c>
      <c r="H1332" s="7" t="str">
        <f>IFERROR(__xludf.DUMMYFUNCTION("""COMPUTED_VALUE"""),"No salary data")</f>
        <v>No salary data</v>
      </c>
      <c r="I1332" s="7" t="str">
        <f>IFERROR(__xludf.DUMMYFUNCTION("""COMPUTED_VALUE"""),"No salary data")</f>
        <v>No salary data</v>
      </c>
      <c r="J1332" s="7" t="str">
        <f>IFERROR(__xludf.DUMMYFUNCTION("""COMPUTED_VALUE"""),"Git, Agile")</f>
        <v>Git, Agile</v>
      </c>
      <c r="K1332" s="7" t="str">
        <f>IFERROR(__xludf.DUMMYFUNCTION("""COMPUTED_VALUE"""),"No job type data")</f>
        <v>No job type data</v>
      </c>
      <c r="L1332" s="7" t="str">
        <f>IFERROR(__xludf.DUMMYFUNCTION("""COMPUTED_VALUE"""),"4,5")</f>
        <v>4,5</v>
      </c>
      <c r="M1332" s="7"/>
      <c r="N1332" s="7"/>
      <c r="O1332" s="7"/>
    </row>
    <row r="1333">
      <c r="A1333" s="29">
        <f>IFERROR(__xludf.DUMMYFUNCTION("""COMPUTED_VALUE"""),1329.0)</f>
        <v>1329</v>
      </c>
      <c r="B1333" s="7" t="str">
        <f>IFERROR(__xludf.DUMMYFUNCTION("""COMPUTED_VALUE"""),"vor 17 Tagen")</f>
        <v>vor 17 Tagen</v>
      </c>
      <c r="C1333" s="7" t="str">
        <f>IFERROR(__xludf.DUMMYFUNCTION("""COMPUTED_VALUE"""),"System Engineer for Control Systems and Data Modelling / IT...")</f>
        <v>System Engineer for Control Systems and Data Modelling / IT...</v>
      </c>
      <c r="D1333" s="7" t="str">
        <f>IFERROR(__xludf.DUMMYFUNCTION("""COMPUTED_VALUE"""),"Rostock")</f>
        <v>Rostock</v>
      </c>
      <c r="E1333" s="7" t="str">
        <f>IFERROR(__xludf.DUMMYFUNCTION("""COMPUTED_VALUE"""),"DNV GL SE")</f>
        <v>DNV GL SE</v>
      </c>
      <c r="F1333" s="7" t="str">
        <f>IFERROR(__xludf.DUMMYFUNCTION("""COMPUTED_VALUE"""),"None")</f>
        <v>None</v>
      </c>
      <c r="G1333" s="7" t="str">
        <f>IFERROR(__xludf.DUMMYFUNCTION("""COMPUTED_VALUE"""),"No salary data")</f>
        <v>No salary data</v>
      </c>
      <c r="H1333" s="7" t="str">
        <f>IFERROR(__xludf.DUMMYFUNCTION("""COMPUTED_VALUE"""),"No salary data")</f>
        <v>No salary data</v>
      </c>
      <c r="I1333" s="7" t="str">
        <f>IFERROR(__xludf.DUMMYFUNCTION("""COMPUTED_VALUE"""),"No salary data")</f>
        <v>No salary data</v>
      </c>
      <c r="J1333" s="7" t="str">
        <f>IFERROR(__xludf.DUMMYFUNCTION("""COMPUTED_VALUE"""),"Git")</f>
        <v>Git</v>
      </c>
      <c r="K1333" s="7" t="str">
        <f>IFERROR(__xludf.DUMMYFUNCTION("""COMPUTED_VALUE"""),"No job type data")</f>
        <v>No job type data</v>
      </c>
      <c r="L1333" s="7" t="str">
        <f>IFERROR(__xludf.DUMMYFUNCTION("""COMPUTED_VALUE"""),"None")</f>
        <v>None</v>
      </c>
      <c r="M1333" s="7"/>
      <c r="N1333" s="7"/>
      <c r="O1333" s="7"/>
    </row>
    <row r="1334">
      <c r="A1334" s="29">
        <f>IFERROR(__xludf.DUMMYFUNCTION("""COMPUTED_VALUE"""),1330.0)</f>
        <v>1330</v>
      </c>
      <c r="B1334" s="7" t="str">
        <f>IFERROR(__xludf.DUMMYFUNCTION("""COMPUTED_VALUE"""),"Vor mehr als 30 Tagen")</f>
        <v>Vor mehr als 30 Tagen</v>
      </c>
      <c r="C1334" s="7" t="str">
        <f>IFERROR(__xludf.DUMMYFUNCTION("""COMPUTED_VALUE"""),"Junior Java Entwickler (w/m/d) - Anwendungsentwicklung, IT")</f>
        <v>Junior Java Entwickler (w/m/d) - Anwendungsentwicklung, IT</v>
      </c>
      <c r="D1334" s="7" t="str">
        <f>IFERROR(__xludf.DUMMYFUNCTION("""COMPUTED_VALUE"""),"München")</f>
        <v>München</v>
      </c>
      <c r="E1334" s="7" t="str">
        <f>IFERROR(__xludf.DUMMYFUNCTION("""COMPUTED_VALUE"""),"Reply AG")</f>
        <v>Reply AG</v>
      </c>
      <c r="F1334" s="7" t="str">
        <f>IFERROR(__xludf.DUMMYFUNCTION("""COMPUTED_VALUE"""),"None")</f>
        <v>None</v>
      </c>
      <c r="G1334" s="7" t="str">
        <f>IFERROR(__xludf.DUMMYFUNCTION("""COMPUTED_VALUE"""),"No salary data")</f>
        <v>No salary data</v>
      </c>
      <c r="H1334" s="7" t="str">
        <f>IFERROR(__xludf.DUMMYFUNCTION("""COMPUTED_VALUE"""),"No salary data")</f>
        <v>No salary data</v>
      </c>
      <c r="I1334" s="7" t="str">
        <f>IFERROR(__xludf.DUMMYFUNCTION("""COMPUTED_VALUE"""),"No salary data")</f>
        <v>No salary data</v>
      </c>
      <c r="J1334" s="7" t="str">
        <f>IFERROR(__xludf.DUMMYFUNCTION("""COMPUTED_VALUE"""),"SQL, Agile")</f>
        <v>SQL, Agile</v>
      </c>
      <c r="K1334" s="7" t="str">
        <f>IFERROR(__xludf.DUMMYFUNCTION("""COMPUTED_VALUE"""),"No job type data")</f>
        <v>No job type data</v>
      </c>
      <c r="L1334" s="7" t="str">
        <f>IFERROR(__xludf.DUMMYFUNCTION("""COMPUTED_VALUE"""),"None")</f>
        <v>None</v>
      </c>
      <c r="M1334" s="7"/>
      <c r="N1334" s="7"/>
      <c r="O1334" s="7"/>
    </row>
    <row r="1335">
      <c r="A1335" s="29">
        <f>IFERROR(__xludf.DUMMYFUNCTION("""COMPUTED_VALUE"""),1331.0)</f>
        <v>1331</v>
      </c>
      <c r="B1335" s="7" t="str">
        <f>IFERROR(__xludf.DUMMYFUNCTION("""COMPUTED_VALUE"""),"vor 19 Tagen")</f>
        <v>vor 19 Tagen</v>
      </c>
      <c r="C1335" s="7" t="str">
        <f>IFERROR(__xludf.DUMMYFUNCTION("""COMPUTED_VALUE"""),"Berater Business Technology Advisory (m/w/d) - Business Anal...")</f>
        <v>Berater Business Technology Advisory (m/w/d) - Business Anal...</v>
      </c>
      <c r="D1335" s="7" t="str">
        <f>IFERROR(__xludf.DUMMYFUNCTION("""COMPUTED_VALUE"""),"Berlin")</f>
        <v>Berlin</v>
      </c>
      <c r="E1335" s="7" t="str">
        <f>IFERROR(__xludf.DUMMYFUNCTION("""COMPUTED_VALUE"""),"Detecon International GmbH")</f>
        <v>Detecon International GmbH</v>
      </c>
      <c r="F1335" s="7" t="str">
        <f>IFERROR(__xludf.DUMMYFUNCTION("""COMPUTED_VALUE"""),"None")</f>
        <v>None</v>
      </c>
      <c r="G1335" s="7" t="str">
        <f>IFERROR(__xludf.DUMMYFUNCTION("""COMPUTED_VALUE"""),"No salary data")</f>
        <v>No salary data</v>
      </c>
      <c r="H1335" s="7" t="str">
        <f>IFERROR(__xludf.DUMMYFUNCTION("""COMPUTED_VALUE"""),"No salary data")</f>
        <v>No salary data</v>
      </c>
      <c r="I1335" s="7" t="str">
        <f>IFERROR(__xludf.DUMMYFUNCTION("""COMPUTED_VALUE"""),"No salary data")</f>
        <v>No salary data</v>
      </c>
      <c r="J1335" s="7" t="str">
        <f>IFERROR(__xludf.DUMMYFUNCTION("""COMPUTED_VALUE"""),"Git")</f>
        <v>Git</v>
      </c>
      <c r="K1335" s="7" t="str">
        <f>IFERROR(__xludf.DUMMYFUNCTION("""COMPUTED_VALUE"""),"No job type data")</f>
        <v>No job type data</v>
      </c>
      <c r="L1335" s="7" t="str">
        <f>IFERROR(__xludf.DUMMYFUNCTION("""COMPUTED_VALUE"""),"3,7")</f>
        <v>3,7</v>
      </c>
      <c r="M1335" s="7"/>
      <c r="N1335" s="7"/>
      <c r="O1335" s="7"/>
    </row>
    <row r="1336">
      <c r="A1336" s="29">
        <f>IFERROR(__xludf.DUMMYFUNCTION("""COMPUTED_VALUE"""),1332.0)</f>
        <v>1332</v>
      </c>
      <c r="B1336" s="7" t="str">
        <f>IFERROR(__xludf.DUMMYFUNCTION("""COMPUTED_VALUE"""),"Vor mehr als 30 Tagen")</f>
        <v>Vor mehr als 30 Tagen</v>
      </c>
      <c r="C1336" s="7" t="str">
        <f>IFERROR(__xludf.DUMMYFUNCTION("""COMPUTED_VALUE"""),"(Junior) Consultant (w/m/d) IT Prozesse, Big Data und Compli...")</f>
        <v>(Junior) Consultant (w/m/d) IT Prozesse, Big Data und Compli...</v>
      </c>
      <c r="D1336" s="7" t="str">
        <f>IFERROR(__xludf.DUMMYFUNCTION("""COMPUTED_VALUE"""),"Saarbrücken")</f>
        <v>Saarbrücken</v>
      </c>
      <c r="E1336" s="7" t="str">
        <f>IFERROR(__xludf.DUMMYFUNCTION("""COMPUTED_VALUE"""),"KPMG AG Wirtschaftsprüfungsgesellschaft")</f>
        <v>KPMG AG Wirtschaftsprüfungsgesellschaft</v>
      </c>
      <c r="F1336" s="7" t="str">
        <f>IFERROR(__xludf.DUMMYFUNCTION("""COMPUTED_VALUE"""),"None")</f>
        <v>None</v>
      </c>
      <c r="G1336" s="7" t="str">
        <f>IFERROR(__xludf.DUMMYFUNCTION("""COMPUTED_VALUE"""),"No salary data")</f>
        <v>No salary data</v>
      </c>
      <c r="H1336" s="7" t="str">
        <f>IFERROR(__xludf.DUMMYFUNCTION("""COMPUTED_VALUE"""),"No salary data")</f>
        <v>No salary data</v>
      </c>
      <c r="I1336" s="7" t="str">
        <f>IFERROR(__xludf.DUMMYFUNCTION("""COMPUTED_VALUE"""),"No salary data")</f>
        <v>No salary data</v>
      </c>
      <c r="J1336" s="7" t="str">
        <f>IFERROR(__xludf.DUMMYFUNCTION("""COMPUTED_VALUE"""),"Git")</f>
        <v>Git</v>
      </c>
      <c r="K1336" s="7" t="str">
        <f>IFERROR(__xludf.DUMMYFUNCTION("""COMPUTED_VALUE"""),"No job type data")</f>
        <v>No job type data</v>
      </c>
      <c r="L1336" s="7" t="str">
        <f>IFERROR(__xludf.DUMMYFUNCTION("""COMPUTED_VALUE"""),"4,0")</f>
        <v>4,0</v>
      </c>
      <c r="M1336" s="7"/>
      <c r="N1336" s="7"/>
      <c r="O1336" s="7"/>
    </row>
    <row r="1337">
      <c r="A1337" s="29">
        <f>IFERROR(__xludf.DUMMYFUNCTION("""COMPUTED_VALUE"""),1333.0)</f>
        <v>1333</v>
      </c>
      <c r="B1337" s="7" t="str">
        <f>IFERROR(__xludf.DUMMYFUNCTION("""COMPUTED_VALUE"""),"Vor mehr als 30 Tagen")</f>
        <v>Vor mehr als 30 Tagen</v>
      </c>
      <c r="C1337" s="7" t="str">
        <f>IFERROR(__xludf.DUMMYFUNCTION("""COMPUTED_VALUE"""),"Für Freelancer: Python Developer - Freelance/Contractor - Re...")</f>
        <v>Für Freelancer: Python Developer - Freelance/Contractor - Re...</v>
      </c>
      <c r="D1337" s="7" t="str">
        <f>IFERROR(__xludf.DUMMYFUNCTION("""COMPUTED_VALUE"""),"Berlin")</f>
        <v>Berlin</v>
      </c>
      <c r="E1337" s="7" t="str">
        <f>IFERROR(__xludf.DUMMYFUNCTION("""COMPUTED_VALUE"""),"None")</f>
        <v>None</v>
      </c>
      <c r="F1337" s="7" t="str">
        <f>IFERROR(__xludf.DUMMYFUNCTION("""COMPUTED_VALUE"""),"None")</f>
        <v>None</v>
      </c>
      <c r="G1337" s="7" t="str">
        <f>IFERROR(__xludf.DUMMYFUNCTION("""COMPUTED_VALUE"""),"No salary data")</f>
        <v>No salary data</v>
      </c>
      <c r="H1337" s="7" t="str">
        <f>IFERROR(__xludf.DUMMYFUNCTION("""COMPUTED_VALUE"""),"No salary data")</f>
        <v>No salary data</v>
      </c>
      <c r="I1337" s="7" t="str">
        <f>IFERROR(__xludf.DUMMYFUNCTION("""COMPUTED_VALUE"""),"No salary data")</f>
        <v>No salary data</v>
      </c>
      <c r="J1337" s="7" t="str">
        <f>IFERROR(__xludf.DUMMYFUNCTION("""COMPUTED_VALUE"""),"Python")</f>
        <v>Python</v>
      </c>
      <c r="K1337" s="7" t="str">
        <f>IFERROR(__xludf.DUMMYFUNCTION("""COMPUTED_VALUE"""),"No job type data")</f>
        <v>No job type data</v>
      </c>
      <c r="L1337" s="7" t="str">
        <f>IFERROR(__xludf.DUMMYFUNCTION("""COMPUTED_VALUE"""),"None")</f>
        <v>None</v>
      </c>
      <c r="M1337" s="7"/>
      <c r="N1337" s="7"/>
      <c r="O1337" s="7"/>
    </row>
    <row r="1338">
      <c r="A1338" s="29">
        <f>IFERROR(__xludf.DUMMYFUNCTION("""COMPUTED_VALUE"""),1334.0)</f>
        <v>1334</v>
      </c>
      <c r="B1338" s="7" t="str">
        <f>IFERROR(__xludf.DUMMYFUNCTION("""COMPUTED_VALUE"""),"Vor mehr als 30 Tagen")</f>
        <v>Vor mehr als 30 Tagen</v>
      </c>
      <c r="C1338" s="7" t="str">
        <f>IFERROR(__xludf.DUMMYFUNCTION("""COMPUTED_VALUE"""),"Für Freelancer: Python Developer")</f>
        <v>Für Freelancer: Python Developer</v>
      </c>
      <c r="D1338" s="7" t="str">
        <f>IFERROR(__xludf.DUMMYFUNCTION("""COMPUTED_VALUE"""),"Berlin")</f>
        <v>Berlin</v>
      </c>
      <c r="E1338" s="7" t="str">
        <f>IFERROR(__xludf.DUMMYFUNCTION("""COMPUTED_VALUE"""),"None")</f>
        <v>None</v>
      </c>
      <c r="F1338" s="7" t="str">
        <f>IFERROR(__xludf.DUMMYFUNCTION("""COMPUTED_VALUE"""),"None")</f>
        <v>None</v>
      </c>
      <c r="G1338" s="7" t="str">
        <f>IFERROR(__xludf.DUMMYFUNCTION("""COMPUTED_VALUE"""),"No salary data")</f>
        <v>No salary data</v>
      </c>
      <c r="H1338" s="7" t="str">
        <f>IFERROR(__xludf.DUMMYFUNCTION("""COMPUTED_VALUE"""),"No salary data")</f>
        <v>No salary data</v>
      </c>
      <c r="I1338" s="7" t="str">
        <f>IFERROR(__xludf.DUMMYFUNCTION("""COMPUTED_VALUE"""),"No salary data")</f>
        <v>No salary data</v>
      </c>
      <c r="J1338" s="7" t="str">
        <f>IFERROR(__xludf.DUMMYFUNCTION("""COMPUTED_VALUE"""),"Python")</f>
        <v>Python</v>
      </c>
      <c r="K1338" s="7" t="str">
        <f>IFERROR(__xludf.DUMMYFUNCTION("""COMPUTED_VALUE"""),"Contract")</f>
        <v>Contract</v>
      </c>
      <c r="L1338" s="7" t="str">
        <f>IFERROR(__xludf.DUMMYFUNCTION("""COMPUTED_VALUE"""),"None")</f>
        <v>None</v>
      </c>
      <c r="M1338" s="7"/>
      <c r="N1338" s="7"/>
      <c r="O1338" s="7"/>
    </row>
    <row r="1339">
      <c r="A1339" s="29">
        <f>IFERROR(__xludf.DUMMYFUNCTION("""COMPUTED_VALUE"""),1335.0)</f>
        <v>1335</v>
      </c>
      <c r="B1339" s="7" t="str">
        <f>IFERROR(__xludf.DUMMYFUNCTION("""COMPUTED_VALUE"""),"vor 4 Tagen")</f>
        <v>vor 4 Tagen</v>
      </c>
      <c r="C1339" s="7" t="str">
        <f>IFERROR(__xludf.DUMMYFUNCTION("""COMPUTED_VALUE"""),"Für Freelancer: Specialist Automated Testing ? Lab Data Auto...")</f>
        <v>Für Freelancer: Specialist Automated Testing ? Lab Data Auto...</v>
      </c>
      <c r="D1339" s="7" t="str">
        <f>IFERROR(__xludf.DUMMYFUNCTION("""COMPUTED_VALUE"""),"Nordrhein-Westfalen")</f>
        <v>Nordrhein-Westfalen</v>
      </c>
      <c r="E1339" s="7" t="str">
        <f>IFERROR(__xludf.DUMMYFUNCTION("""COMPUTED_VALUE"""),"None")</f>
        <v>None</v>
      </c>
      <c r="F1339" s="7" t="str">
        <f>IFERROR(__xludf.DUMMYFUNCTION("""COMPUTED_VALUE"""),"None")</f>
        <v>None</v>
      </c>
      <c r="G1339" s="7" t="str">
        <f>IFERROR(__xludf.DUMMYFUNCTION("""COMPUTED_VALUE"""),"No salary data")</f>
        <v>No salary data</v>
      </c>
      <c r="H1339" s="7" t="str">
        <f>IFERROR(__xludf.DUMMYFUNCTION("""COMPUTED_VALUE"""),"No salary data")</f>
        <v>No salary data</v>
      </c>
      <c r="I1339" s="7" t="str">
        <f>IFERROR(__xludf.DUMMYFUNCTION("""COMPUTED_VALUE"""),"No salary data")</f>
        <v>No salary data</v>
      </c>
      <c r="J1339" s="7"/>
      <c r="K1339" s="7" t="str">
        <f>IFERROR(__xludf.DUMMYFUNCTION("""COMPUTED_VALUE"""),"No job type data")</f>
        <v>No job type data</v>
      </c>
      <c r="L1339" s="7" t="str">
        <f>IFERROR(__xludf.DUMMYFUNCTION("""COMPUTED_VALUE"""),"None")</f>
        <v>None</v>
      </c>
      <c r="M1339" s="7"/>
      <c r="N1339" s="7"/>
      <c r="O1339" s="7"/>
    </row>
    <row r="1340">
      <c r="A1340" s="29">
        <f>IFERROR(__xludf.DUMMYFUNCTION("""COMPUTED_VALUE"""),1336.0)</f>
        <v>1336</v>
      </c>
      <c r="B1340" s="7" t="str">
        <f>IFERROR(__xludf.DUMMYFUNCTION("""COMPUTED_VALUE"""),"vor 4 Tagen")</f>
        <v>vor 4 Tagen</v>
      </c>
      <c r="C1340" s="7" t="str">
        <f>IFERROR(__xludf.DUMMYFUNCTION("""COMPUTED_VALUE"""),"Für Freelancer: Project Manager SCRUM (m/w/d)")</f>
        <v>Für Freelancer: Project Manager SCRUM (m/w/d)</v>
      </c>
      <c r="D1340" s="7" t="str">
        <f>IFERROR(__xludf.DUMMYFUNCTION("""COMPUTED_VALUE"""),"Home Office")</f>
        <v>Home Office</v>
      </c>
      <c r="E1340" s="7" t="str">
        <f>IFERROR(__xludf.DUMMYFUNCTION("""COMPUTED_VALUE"""),"None")</f>
        <v>None</v>
      </c>
      <c r="F1340" s="7" t="str">
        <f>IFERROR(__xludf.DUMMYFUNCTION("""COMPUTED_VALUE"""),"None")</f>
        <v>None</v>
      </c>
      <c r="G1340" s="7" t="str">
        <f>IFERROR(__xludf.DUMMYFUNCTION("""COMPUTED_VALUE"""),"No salary data")</f>
        <v>No salary data</v>
      </c>
      <c r="H1340" s="7" t="str">
        <f>IFERROR(__xludf.DUMMYFUNCTION("""COMPUTED_VALUE"""),"No salary data")</f>
        <v>No salary data</v>
      </c>
      <c r="I1340" s="7" t="str">
        <f>IFERROR(__xludf.DUMMYFUNCTION("""COMPUTED_VALUE"""),"No salary data")</f>
        <v>No salary data</v>
      </c>
      <c r="J1340" s="7" t="str">
        <f>IFERROR(__xludf.DUMMYFUNCTION("""COMPUTED_VALUE"""),"Agile, Scrum")</f>
        <v>Agile, Scrum</v>
      </c>
      <c r="K1340" s="7" t="str">
        <f>IFERROR(__xludf.DUMMYFUNCTION("""COMPUTED_VALUE"""),"Contract")</f>
        <v>Contract</v>
      </c>
      <c r="L1340" s="7" t="str">
        <f>IFERROR(__xludf.DUMMYFUNCTION("""COMPUTED_VALUE"""),"None")</f>
        <v>None</v>
      </c>
      <c r="M1340" s="7"/>
      <c r="N1340" s="7"/>
      <c r="O1340" s="7"/>
    </row>
    <row r="1341">
      <c r="A1341" s="29">
        <f>IFERROR(__xludf.DUMMYFUNCTION("""COMPUTED_VALUE"""),1337.0)</f>
        <v>1337</v>
      </c>
      <c r="B1341" s="7" t="str">
        <f>IFERROR(__xludf.DUMMYFUNCTION("""COMPUTED_VALUE"""),"vor 25 Tagen")</f>
        <v>vor 25 Tagen</v>
      </c>
      <c r="C1341" s="7" t="str">
        <f>IFERROR(__xludf.DUMMYFUNCTION("""COMPUTED_VALUE"""),"Für Freelancer: Senior Software Developer (m/w/d) - Frankfur...")</f>
        <v>Für Freelancer: Senior Software Developer (m/w/d) - Frankfur...</v>
      </c>
      <c r="D1341" s="7" t="str">
        <f>IFERROR(__xludf.DUMMYFUNCTION("""COMPUTED_VALUE"""),"Frankfurt am Main")</f>
        <v>Frankfurt am Main</v>
      </c>
      <c r="E1341" s="7" t="str">
        <f>IFERROR(__xludf.DUMMYFUNCTION("""COMPUTED_VALUE"""),"None")</f>
        <v>None</v>
      </c>
      <c r="F1341" s="7" t="str">
        <f>IFERROR(__xludf.DUMMYFUNCTION("""COMPUTED_VALUE"""),"None")</f>
        <v>None</v>
      </c>
      <c r="G1341" s="7" t="str">
        <f>IFERROR(__xludf.DUMMYFUNCTION("""COMPUTED_VALUE"""),"No salary data")</f>
        <v>No salary data</v>
      </c>
      <c r="H1341" s="7" t="str">
        <f>IFERROR(__xludf.DUMMYFUNCTION("""COMPUTED_VALUE"""),"No salary data")</f>
        <v>No salary data</v>
      </c>
      <c r="I1341" s="7" t="str">
        <f>IFERROR(__xludf.DUMMYFUNCTION("""COMPUTED_VALUE"""),"No salary data")</f>
        <v>No salary data</v>
      </c>
      <c r="J1341" s="7" t="str">
        <f>IFERROR(__xludf.DUMMYFUNCTION("""COMPUTED_VALUE"""),"SQL")</f>
        <v>SQL</v>
      </c>
      <c r="K1341" s="7" t="str">
        <f>IFERROR(__xludf.DUMMYFUNCTION("""COMPUTED_VALUE"""),"No job type data")</f>
        <v>No job type data</v>
      </c>
      <c r="L1341" s="7" t="str">
        <f>IFERROR(__xludf.DUMMYFUNCTION("""COMPUTED_VALUE"""),"None")</f>
        <v>None</v>
      </c>
      <c r="M1341" s="7"/>
      <c r="N1341" s="7"/>
      <c r="O1341" s="7"/>
    </row>
    <row r="1342">
      <c r="A1342" s="29">
        <f>IFERROR(__xludf.DUMMYFUNCTION("""COMPUTED_VALUE"""),1338.0)</f>
        <v>1338</v>
      </c>
      <c r="B1342" s="7" t="str">
        <f>IFERROR(__xludf.DUMMYFUNCTION("""COMPUTED_VALUE"""),"vor 17 Tagen")</f>
        <v>vor 17 Tagen</v>
      </c>
      <c r="C1342" s="7" t="str">
        <f>IFERROR(__xludf.DUMMYFUNCTION("""COMPUTED_VALUE"""),"Für Freelancer: The Senior Clinical Data Manager")</f>
        <v>Für Freelancer: The Senior Clinical Data Manager</v>
      </c>
      <c r="D1342" s="7" t="str">
        <f>IFERROR(__xludf.DUMMYFUNCTION("""COMPUTED_VALUE"""),"Berlin")</f>
        <v>Berlin</v>
      </c>
      <c r="E1342" s="7" t="str">
        <f>IFERROR(__xludf.DUMMYFUNCTION("""COMPUTED_VALUE"""),"None")</f>
        <v>None</v>
      </c>
      <c r="F1342" s="7" t="str">
        <f>IFERROR(__xludf.DUMMYFUNCTION("""COMPUTED_VALUE"""),"None")</f>
        <v>None</v>
      </c>
      <c r="G1342" s="7" t="str">
        <f>IFERROR(__xludf.DUMMYFUNCTION("""COMPUTED_VALUE"""),"No salary data")</f>
        <v>No salary data</v>
      </c>
      <c r="H1342" s="7" t="str">
        <f>IFERROR(__xludf.DUMMYFUNCTION("""COMPUTED_VALUE"""),"No salary data")</f>
        <v>No salary data</v>
      </c>
      <c r="I1342" s="7" t="str">
        <f>IFERROR(__xludf.DUMMYFUNCTION("""COMPUTED_VALUE"""),"No salary data")</f>
        <v>No salary data</v>
      </c>
      <c r="J1342" s="7"/>
      <c r="K1342" s="7" t="str">
        <f>IFERROR(__xludf.DUMMYFUNCTION("""COMPUTED_VALUE"""),"No job type data")</f>
        <v>No job type data</v>
      </c>
      <c r="L1342" s="7" t="str">
        <f>IFERROR(__xludf.DUMMYFUNCTION("""COMPUTED_VALUE"""),"None")</f>
        <v>None</v>
      </c>
      <c r="M1342" s="7"/>
      <c r="N1342" s="7"/>
      <c r="O1342" s="7"/>
    </row>
    <row r="1343">
      <c r="A1343" s="29">
        <f>IFERROR(__xludf.DUMMYFUNCTION("""COMPUTED_VALUE"""),1339.0)</f>
        <v>1339</v>
      </c>
      <c r="B1343" s="7" t="str">
        <f>IFERROR(__xludf.DUMMYFUNCTION("""COMPUTED_VALUE"""),"vor 14 Tagen")</f>
        <v>vor 14 Tagen</v>
      </c>
      <c r="C1343" s="7" t="str">
        <f>IFERROR(__xludf.DUMMYFUNCTION("""COMPUTED_VALUE"""),"Electronic Engineer for Analog and Digital Systems (Remunera...")</f>
        <v>Electronic Engineer for Analog and Digital Systems (Remunera...</v>
      </c>
      <c r="D1343" s="7" t="str">
        <f>IFERROR(__xludf.DUMMYFUNCTION("""COMPUTED_VALUE"""),"Hamburg")</f>
        <v>Hamburg</v>
      </c>
      <c r="E1343" s="7" t="str">
        <f>IFERROR(__xludf.DUMMYFUNCTION("""COMPUTED_VALUE"""),"DESY")</f>
        <v>DESY</v>
      </c>
      <c r="F1343" s="7" t="str">
        <f>IFERROR(__xludf.DUMMYFUNCTION("""COMPUTED_VALUE"""),"None")</f>
        <v>None</v>
      </c>
      <c r="G1343" s="7" t="str">
        <f>IFERROR(__xludf.DUMMYFUNCTION("""COMPUTED_VALUE"""),"No salary data")</f>
        <v>No salary data</v>
      </c>
      <c r="H1343" s="7" t="str">
        <f>IFERROR(__xludf.DUMMYFUNCTION("""COMPUTED_VALUE"""),"No salary data")</f>
        <v>No salary data</v>
      </c>
      <c r="I1343" s="7" t="str">
        <f>IFERROR(__xludf.DUMMYFUNCTION("""COMPUTED_VALUE"""),"No salary data")</f>
        <v>No salary data</v>
      </c>
      <c r="J1343" s="7" t="str">
        <f>IFERROR(__xludf.DUMMYFUNCTION("""COMPUTED_VALUE"""),"Git")</f>
        <v>Git</v>
      </c>
      <c r="K1343" s="7" t="str">
        <f>IFERROR(__xludf.DUMMYFUNCTION("""COMPUTED_VALUE"""),"Part-Time")</f>
        <v>Part-Time</v>
      </c>
      <c r="L1343" s="7" t="str">
        <f>IFERROR(__xludf.DUMMYFUNCTION("""COMPUTED_VALUE"""),"4,7")</f>
        <v>4,7</v>
      </c>
      <c r="M1343" s="7"/>
      <c r="N1343" s="7"/>
      <c r="O1343" s="7"/>
    </row>
    <row r="1344">
      <c r="A1344" s="29">
        <f>IFERROR(__xludf.DUMMYFUNCTION("""COMPUTED_VALUE"""),1340.0)</f>
        <v>1340</v>
      </c>
      <c r="B1344" s="7" t="str">
        <f>IFERROR(__xludf.DUMMYFUNCTION("""COMPUTED_VALUE"""),"Vor mehr als 30 Tagen")</f>
        <v>Vor mehr als 30 Tagen</v>
      </c>
      <c r="C1344" s="7" t="str">
        <f>IFERROR(__xludf.DUMMYFUNCTION("""COMPUTED_VALUE"""),"Für Freelancer: Salesforce Architekt (m/w/d)")</f>
        <v>Für Freelancer: Salesforce Architekt (m/w/d)</v>
      </c>
      <c r="D1344" s="7" t="str">
        <f>IFERROR(__xludf.DUMMYFUNCTION("""COMPUTED_VALUE"""),"Stuttgart")</f>
        <v>Stuttgart</v>
      </c>
      <c r="E1344" s="7" t="str">
        <f>IFERROR(__xludf.DUMMYFUNCTION("""COMPUTED_VALUE"""),"None")</f>
        <v>None</v>
      </c>
      <c r="F1344" s="7" t="str">
        <f>IFERROR(__xludf.DUMMYFUNCTION("""COMPUTED_VALUE"""),"None")</f>
        <v>None</v>
      </c>
      <c r="G1344" s="7" t="str">
        <f>IFERROR(__xludf.DUMMYFUNCTION("""COMPUTED_VALUE"""),"No salary data")</f>
        <v>No salary data</v>
      </c>
      <c r="H1344" s="7" t="str">
        <f>IFERROR(__xludf.DUMMYFUNCTION("""COMPUTED_VALUE"""),"No salary data")</f>
        <v>No salary data</v>
      </c>
      <c r="I1344" s="7" t="str">
        <f>IFERROR(__xludf.DUMMYFUNCTION("""COMPUTED_VALUE"""),"No salary data")</f>
        <v>No salary data</v>
      </c>
      <c r="J1344" s="7" t="str">
        <f>IFERROR(__xludf.DUMMYFUNCTION("""COMPUTED_VALUE"""),"Agile")</f>
        <v>Agile</v>
      </c>
      <c r="K1344" s="7" t="str">
        <f>IFERROR(__xludf.DUMMYFUNCTION("""COMPUTED_VALUE"""),"No job type data")</f>
        <v>No job type data</v>
      </c>
      <c r="L1344" s="7" t="str">
        <f>IFERROR(__xludf.DUMMYFUNCTION("""COMPUTED_VALUE"""),"None")</f>
        <v>None</v>
      </c>
      <c r="M1344" s="7"/>
      <c r="N1344" s="7"/>
      <c r="O1344" s="7"/>
    </row>
    <row r="1345">
      <c r="A1345" s="29">
        <f>IFERROR(__xludf.DUMMYFUNCTION("""COMPUTED_VALUE"""),1341.0)</f>
        <v>1341</v>
      </c>
      <c r="B1345" s="7" t="str">
        <f>IFERROR(__xludf.DUMMYFUNCTION("""COMPUTED_VALUE"""),"vor 20 Tagen")</f>
        <v>vor 20 Tagen</v>
      </c>
      <c r="C1345" s="7" t="str">
        <f>IFERROR(__xludf.DUMMYFUNCTION("""COMPUTED_VALUE"""),"Für Freelancer: Productmanager Berlin/Remote")</f>
        <v>Für Freelancer: Productmanager Berlin/Remote</v>
      </c>
      <c r="D1345" s="7" t="str">
        <f>IFERROR(__xludf.DUMMYFUNCTION("""COMPUTED_VALUE"""),"Berlin")</f>
        <v>Berlin</v>
      </c>
      <c r="E1345" s="7" t="str">
        <f>IFERROR(__xludf.DUMMYFUNCTION("""COMPUTED_VALUE"""),"None")</f>
        <v>None</v>
      </c>
      <c r="F1345" s="7" t="str">
        <f>IFERROR(__xludf.DUMMYFUNCTION("""COMPUTED_VALUE"""),"500 € - 600 € pro Monat")</f>
        <v>500 € - 600 € pro Monat</v>
      </c>
      <c r="G1345" s="7">
        <f>IFERROR(__xludf.DUMMYFUNCTION("""COMPUTED_VALUE"""),550.0)</f>
        <v>550</v>
      </c>
      <c r="H1345" s="7" t="str">
        <f>IFERROR(__xludf.DUMMYFUNCTION("""COMPUTED_VALUE"""),"Monat")</f>
        <v>Monat</v>
      </c>
      <c r="I1345" s="7">
        <f>IFERROR(__xludf.DUMMYFUNCTION("""COMPUTED_VALUE"""),6600.0)</f>
        <v>6600</v>
      </c>
      <c r="J1345" s="7" t="str">
        <f>IFERROR(__xludf.DUMMYFUNCTION("""COMPUTED_VALUE"""),"Excel, Agile")</f>
        <v>Excel, Agile</v>
      </c>
      <c r="K1345" s="7" t="str">
        <f>IFERROR(__xludf.DUMMYFUNCTION("""COMPUTED_VALUE"""),"No job type data")</f>
        <v>No job type data</v>
      </c>
      <c r="L1345" s="7" t="str">
        <f>IFERROR(__xludf.DUMMYFUNCTION("""COMPUTED_VALUE"""),"None")</f>
        <v>None</v>
      </c>
      <c r="M1345" s="7"/>
      <c r="N1345" s="7"/>
      <c r="O1345" s="7"/>
    </row>
    <row r="1346">
      <c r="A1346" s="29">
        <f>IFERROR(__xludf.DUMMYFUNCTION("""COMPUTED_VALUE"""),1342.0)</f>
        <v>1342</v>
      </c>
      <c r="B1346" s="7" t="str">
        <f>IFERROR(__xludf.DUMMYFUNCTION("""COMPUTED_VALUE"""),"vor 23 Tagen")</f>
        <v>vor 23 Tagen</v>
      </c>
      <c r="C1346" s="7" t="str">
        <f>IFERROR(__xludf.DUMMYFUNCTION("""COMPUTED_VALUE"""),"Statistician- Meta Analysis")</f>
        <v>Statistician- Meta Analysis</v>
      </c>
      <c r="D1346" s="7" t="str">
        <f>IFERROR(__xludf.DUMMYFUNCTION("""COMPUTED_VALUE"""),"Deutschland")</f>
        <v>Deutschland</v>
      </c>
      <c r="E1346" s="7" t="str">
        <f>IFERROR(__xludf.DUMMYFUNCTION("""COMPUTED_VALUE"""),"Barrington James")</f>
        <v>Barrington James</v>
      </c>
      <c r="F1346" s="7" t="str">
        <f>IFERROR(__xludf.DUMMYFUNCTION("""COMPUTED_VALUE"""),"None")</f>
        <v>None</v>
      </c>
      <c r="G1346" s="7" t="str">
        <f>IFERROR(__xludf.DUMMYFUNCTION("""COMPUTED_VALUE"""),"No salary data")</f>
        <v>No salary data</v>
      </c>
      <c r="H1346" s="7" t="str">
        <f>IFERROR(__xludf.DUMMYFUNCTION("""COMPUTED_VALUE"""),"No salary data")</f>
        <v>No salary data</v>
      </c>
      <c r="I1346" s="7" t="str">
        <f>IFERROR(__xludf.DUMMYFUNCTION("""COMPUTED_VALUE"""),"No salary data")</f>
        <v>No salary data</v>
      </c>
      <c r="J1346" s="7" t="str">
        <f>IFERROR(__xludf.DUMMYFUNCTION("""COMPUTED_VALUE"""),"Statistic")</f>
        <v>Statistic</v>
      </c>
      <c r="K1346" s="7" t="str">
        <f>IFERROR(__xludf.DUMMYFUNCTION("""COMPUTED_VALUE"""),"No job type data")</f>
        <v>No job type data</v>
      </c>
      <c r="L1346" s="7" t="str">
        <f>IFERROR(__xludf.DUMMYFUNCTION("""COMPUTED_VALUE"""),"None")</f>
        <v>None</v>
      </c>
      <c r="M1346" s="7"/>
      <c r="N1346" s="7"/>
      <c r="O1346" s="7"/>
    </row>
    <row r="1347">
      <c r="A1347" s="29">
        <f>IFERROR(__xludf.DUMMYFUNCTION("""COMPUTED_VALUE"""),1343.0)</f>
        <v>1343</v>
      </c>
      <c r="B1347" s="7" t="str">
        <f>IFERROR(__xludf.DUMMYFUNCTION("""COMPUTED_VALUE"""),"vor 5 Tagen")</f>
        <v>vor 5 Tagen</v>
      </c>
      <c r="C1347" s="7" t="str">
        <f>IFERROR(__xludf.DUMMYFUNCTION("""COMPUTED_VALUE"""),"Für Freelancer: 2 Experten (m/w/d) für Sicherheitskonzepte u...")</f>
        <v>Für Freelancer: 2 Experten (m/w/d) für Sicherheitskonzepte u...</v>
      </c>
      <c r="D1347" s="7" t="str">
        <f>IFERROR(__xludf.DUMMYFUNCTION("""COMPUTED_VALUE"""),"Bonn")</f>
        <v>Bonn</v>
      </c>
      <c r="E1347" s="7" t="str">
        <f>IFERROR(__xludf.DUMMYFUNCTION("""COMPUTED_VALUE"""),"None")</f>
        <v>None</v>
      </c>
      <c r="F1347" s="7" t="str">
        <f>IFERROR(__xludf.DUMMYFUNCTION("""COMPUTED_VALUE"""),"None")</f>
        <v>None</v>
      </c>
      <c r="G1347" s="7" t="str">
        <f>IFERROR(__xludf.DUMMYFUNCTION("""COMPUTED_VALUE"""),"No salary data")</f>
        <v>No salary data</v>
      </c>
      <c r="H1347" s="7" t="str">
        <f>IFERROR(__xludf.DUMMYFUNCTION("""COMPUTED_VALUE"""),"No salary data")</f>
        <v>No salary data</v>
      </c>
      <c r="I1347" s="7" t="str">
        <f>IFERROR(__xludf.DUMMYFUNCTION("""COMPUTED_VALUE"""),"No salary data")</f>
        <v>No salary data</v>
      </c>
      <c r="J1347" s="7"/>
      <c r="K1347" s="7" t="str">
        <f>IFERROR(__xludf.DUMMYFUNCTION("""COMPUTED_VALUE"""),"No job type data")</f>
        <v>No job type data</v>
      </c>
      <c r="L1347" s="7" t="str">
        <f>IFERROR(__xludf.DUMMYFUNCTION("""COMPUTED_VALUE"""),"None")</f>
        <v>None</v>
      </c>
      <c r="M1347" s="7"/>
      <c r="N1347" s="7"/>
      <c r="O1347" s="7"/>
    </row>
    <row r="1348">
      <c r="A1348" s="29">
        <f>IFERROR(__xludf.DUMMYFUNCTION("""COMPUTED_VALUE"""),1344.0)</f>
        <v>1344</v>
      </c>
      <c r="B1348" s="7" t="str">
        <f>IFERROR(__xludf.DUMMYFUNCTION("""COMPUTED_VALUE"""),"Vor mehr als 30 Tagen")</f>
        <v>Vor mehr als 30 Tagen</v>
      </c>
      <c r="C1348" s="7" t="str">
        <f>IFERROR(__xludf.DUMMYFUNCTION("""COMPUTED_VALUE"""),"Big Data Engineer (m/w/d)")</f>
        <v>Big Data Engineer (m/w/d)</v>
      </c>
      <c r="D1348" s="7" t="str">
        <f>IFERROR(__xludf.DUMMYFUNCTION("""COMPUTED_VALUE"""),"Ismaning")</f>
        <v>Ismaning</v>
      </c>
      <c r="E1348" s="7" t="str">
        <f>IFERROR(__xludf.DUMMYFUNCTION("""COMPUTED_VALUE"""),"TecAlliance GmbH")</f>
        <v>TecAlliance GmbH</v>
      </c>
      <c r="F1348" s="7" t="str">
        <f>IFERROR(__xludf.DUMMYFUNCTION("""COMPUTED_VALUE"""),"None")</f>
        <v>None</v>
      </c>
      <c r="G1348" s="7" t="str">
        <f>IFERROR(__xludf.DUMMYFUNCTION("""COMPUTED_VALUE"""),"No salary data")</f>
        <v>No salary data</v>
      </c>
      <c r="H1348" s="7" t="str">
        <f>IFERROR(__xludf.DUMMYFUNCTION("""COMPUTED_VALUE"""),"No salary data")</f>
        <v>No salary data</v>
      </c>
      <c r="I1348" s="7" t="str">
        <f>IFERROR(__xludf.DUMMYFUNCTION("""COMPUTED_VALUE"""),"No salary data")</f>
        <v>No salary data</v>
      </c>
      <c r="J1348" s="7" t="str">
        <f>IFERROR(__xludf.DUMMYFUNCTION("""COMPUTED_VALUE"""),"Python, Git, Agile")</f>
        <v>Python, Git, Agile</v>
      </c>
      <c r="K1348" s="7" t="str">
        <f>IFERROR(__xludf.DUMMYFUNCTION("""COMPUTED_VALUE"""),"No job type data")</f>
        <v>No job type data</v>
      </c>
      <c r="L1348" s="7" t="str">
        <f>IFERROR(__xludf.DUMMYFUNCTION("""COMPUTED_VALUE"""),"4,5")</f>
        <v>4,5</v>
      </c>
      <c r="M1348" s="7"/>
      <c r="N1348" s="7"/>
      <c r="O1348" s="7"/>
    </row>
    <row r="1349">
      <c r="A1349" s="29">
        <f>IFERROR(__xludf.DUMMYFUNCTION("""COMPUTED_VALUE"""),1345.0)</f>
        <v>1345</v>
      </c>
      <c r="B1349" s="7" t="str">
        <f>IFERROR(__xludf.DUMMYFUNCTION("""COMPUTED_VALUE"""),"Vor mehr als 30 Tagen")</f>
        <v>Vor mehr als 30 Tagen</v>
      </c>
      <c r="C1349" s="7" t="str">
        <f>IFERROR(__xludf.DUMMYFUNCTION("""COMPUTED_VALUE"""),"ERP-MITARBEITER/DATA-ANALYST (m/w/d)")</f>
        <v>ERP-MITARBEITER/DATA-ANALYST (m/w/d)</v>
      </c>
      <c r="D1349" s="7" t="str">
        <f>IFERROR(__xludf.DUMMYFUNCTION("""COMPUTED_VALUE"""),"Stuttgart")</f>
        <v>Stuttgart</v>
      </c>
      <c r="E1349" s="7" t="str">
        <f>IFERROR(__xludf.DUMMYFUNCTION("""COMPUTED_VALUE"""),"MEGA Das Fach-Zentrum für die Metzgerei und Gastronomie eG")</f>
        <v>MEGA Das Fach-Zentrum für die Metzgerei und Gastronomie eG</v>
      </c>
      <c r="F1349" s="7" t="str">
        <f>IFERROR(__xludf.DUMMYFUNCTION("""COMPUTED_VALUE"""),"None")</f>
        <v>None</v>
      </c>
      <c r="G1349" s="7" t="str">
        <f>IFERROR(__xludf.DUMMYFUNCTION("""COMPUTED_VALUE"""),"No salary data")</f>
        <v>No salary data</v>
      </c>
      <c r="H1349" s="7" t="str">
        <f>IFERROR(__xludf.DUMMYFUNCTION("""COMPUTED_VALUE"""),"No salary data")</f>
        <v>No salary data</v>
      </c>
      <c r="I1349" s="7" t="str">
        <f>IFERROR(__xludf.DUMMYFUNCTION("""COMPUTED_VALUE"""),"No salary data")</f>
        <v>No salary data</v>
      </c>
      <c r="J1349" s="7" t="str">
        <f>IFERROR(__xludf.DUMMYFUNCTION("""COMPUTED_VALUE"""),"SQL, Excel, Linux")</f>
        <v>SQL, Excel, Linux</v>
      </c>
      <c r="K1349" s="7" t="str">
        <f>IFERROR(__xludf.DUMMYFUNCTION("""COMPUTED_VALUE"""),"No job type data")</f>
        <v>No job type data</v>
      </c>
      <c r="L1349" s="7" t="str">
        <f>IFERROR(__xludf.DUMMYFUNCTION("""COMPUTED_VALUE"""),"None")</f>
        <v>None</v>
      </c>
      <c r="M1349" s="7"/>
      <c r="N1349" s="7"/>
      <c r="O1349" s="7"/>
    </row>
    <row r="1350">
      <c r="A1350" s="29">
        <f>IFERROR(__xludf.DUMMYFUNCTION("""COMPUTED_VALUE"""),1346.0)</f>
        <v>1346</v>
      </c>
      <c r="B1350" s="7" t="str">
        <f>IFERROR(__xludf.DUMMYFUNCTION("""COMPUTED_VALUE"""),"vor 12 Tagen")</f>
        <v>vor 12 Tagen</v>
      </c>
      <c r="C1350" s="7" t="str">
        <f>IFERROR(__xludf.DUMMYFUNCTION("""COMPUTED_VALUE"""),"Für Freelancer: Business Analyst SAP BI w/m/d")</f>
        <v>Für Freelancer: Business Analyst SAP BI w/m/d</v>
      </c>
      <c r="D1350" s="7" t="str">
        <f>IFERROR(__xludf.DUMMYFUNCTION("""COMPUTED_VALUE"""),"Hamburg")</f>
        <v>Hamburg</v>
      </c>
      <c r="E1350" s="7" t="str">
        <f>IFERROR(__xludf.DUMMYFUNCTION("""COMPUTED_VALUE"""),"None")</f>
        <v>None</v>
      </c>
      <c r="F1350" s="7" t="str">
        <f>IFERROR(__xludf.DUMMYFUNCTION("""COMPUTED_VALUE"""),"None")</f>
        <v>None</v>
      </c>
      <c r="G1350" s="7" t="str">
        <f>IFERROR(__xludf.DUMMYFUNCTION("""COMPUTED_VALUE"""),"No salary data")</f>
        <v>No salary data</v>
      </c>
      <c r="H1350" s="7" t="str">
        <f>IFERROR(__xludf.DUMMYFUNCTION("""COMPUTED_VALUE"""),"No salary data")</f>
        <v>No salary data</v>
      </c>
      <c r="I1350" s="7" t="str">
        <f>IFERROR(__xludf.DUMMYFUNCTION("""COMPUTED_VALUE"""),"No salary data")</f>
        <v>No salary data</v>
      </c>
      <c r="J1350" s="7" t="str">
        <f>IFERROR(__xludf.DUMMYFUNCTION("""COMPUTED_VALUE"""),"SQL, Kanban, Jira")</f>
        <v>SQL, Kanban, Jira</v>
      </c>
      <c r="K1350" s="7" t="str">
        <f>IFERROR(__xludf.DUMMYFUNCTION("""COMPUTED_VALUE"""),"No job type data")</f>
        <v>No job type data</v>
      </c>
      <c r="L1350" s="7" t="str">
        <f>IFERROR(__xludf.DUMMYFUNCTION("""COMPUTED_VALUE"""),"None")</f>
        <v>None</v>
      </c>
      <c r="M1350" s="7"/>
      <c r="N1350" s="7"/>
      <c r="O1350" s="7"/>
    </row>
    <row r="1351">
      <c r="A1351" s="29">
        <f>IFERROR(__xludf.DUMMYFUNCTION("""COMPUTED_VALUE"""),1347.0)</f>
        <v>1347</v>
      </c>
      <c r="B1351" s="7" t="str">
        <f>IFERROR(__xludf.DUMMYFUNCTION("""COMPUTED_VALUE"""),"vor 3 Tagen")</f>
        <v>vor 3 Tagen</v>
      </c>
      <c r="C1351" s="7" t="str">
        <f>IFERROR(__xludf.DUMMYFUNCTION("""COMPUTED_VALUE"""),"Für Freelancer: EAI Solution Architekt (m/w/d) / Einführung...")</f>
        <v>Für Freelancer: EAI Solution Architekt (m/w/d) / Einführung...</v>
      </c>
      <c r="D1351" s="7" t="str">
        <f>IFERROR(__xludf.DUMMYFUNCTION("""COMPUTED_VALUE"""),"Erfurt")</f>
        <v>Erfurt</v>
      </c>
      <c r="E1351" s="7" t="str">
        <f>IFERROR(__xludf.DUMMYFUNCTION("""COMPUTED_VALUE"""),"None")</f>
        <v>None</v>
      </c>
      <c r="F1351" s="7" t="str">
        <f>IFERROR(__xludf.DUMMYFUNCTION("""COMPUTED_VALUE"""),"None")</f>
        <v>None</v>
      </c>
      <c r="G1351" s="7" t="str">
        <f>IFERROR(__xludf.DUMMYFUNCTION("""COMPUTED_VALUE"""),"No salary data")</f>
        <v>No salary data</v>
      </c>
      <c r="H1351" s="7" t="str">
        <f>IFERROR(__xludf.DUMMYFUNCTION("""COMPUTED_VALUE"""),"No salary data")</f>
        <v>No salary data</v>
      </c>
      <c r="I1351" s="7" t="str">
        <f>IFERROR(__xludf.DUMMYFUNCTION("""COMPUTED_VALUE"""),"No salary data")</f>
        <v>No salary data</v>
      </c>
      <c r="J1351" s="7" t="str">
        <f>IFERROR(__xludf.DUMMYFUNCTION("""COMPUTED_VALUE"""),"Agile")</f>
        <v>Agile</v>
      </c>
      <c r="K1351" s="7" t="str">
        <f>IFERROR(__xludf.DUMMYFUNCTION("""COMPUTED_VALUE"""),"No job type data")</f>
        <v>No job type data</v>
      </c>
      <c r="L1351" s="7" t="str">
        <f>IFERROR(__xludf.DUMMYFUNCTION("""COMPUTED_VALUE"""),"None")</f>
        <v>None</v>
      </c>
      <c r="M1351" s="7"/>
      <c r="N1351" s="7"/>
      <c r="O1351" s="7"/>
    </row>
    <row r="1352">
      <c r="A1352" s="29">
        <f>IFERROR(__xludf.DUMMYFUNCTION("""COMPUTED_VALUE"""),1348.0)</f>
        <v>1348</v>
      </c>
      <c r="B1352" s="7" t="str">
        <f>IFERROR(__xludf.DUMMYFUNCTION("""COMPUTED_VALUE"""),"vor 21 Tagen")</f>
        <v>vor 21 Tagen</v>
      </c>
      <c r="C1352" s="7" t="str">
        <f>IFERROR(__xludf.DUMMYFUNCTION("""COMPUTED_VALUE"""),"Für Freelancer: Powercloud Developer (m/w/d) in München/ Rem...")</f>
        <v>Für Freelancer: Powercloud Developer (m/w/d) in München/ Rem...</v>
      </c>
      <c r="D1352" s="7" t="str">
        <f>IFERROR(__xludf.DUMMYFUNCTION("""COMPUTED_VALUE"""),"München")</f>
        <v>München</v>
      </c>
      <c r="E1352" s="7" t="str">
        <f>IFERROR(__xludf.DUMMYFUNCTION("""COMPUTED_VALUE"""),"None")</f>
        <v>None</v>
      </c>
      <c r="F1352" s="7" t="str">
        <f>IFERROR(__xludf.DUMMYFUNCTION("""COMPUTED_VALUE"""),"None")</f>
        <v>None</v>
      </c>
      <c r="G1352" s="7" t="str">
        <f>IFERROR(__xludf.DUMMYFUNCTION("""COMPUTED_VALUE"""),"No salary data")</f>
        <v>No salary data</v>
      </c>
      <c r="H1352" s="7" t="str">
        <f>IFERROR(__xludf.DUMMYFUNCTION("""COMPUTED_VALUE"""),"No salary data")</f>
        <v>No salary data</v>
      </c>
      <c r="I1352" s="7" t="str">
        <f>IFERROR(__xludf.DUMMYFUNCTION("""COMPUTED_VALUE"""),"No salary data")</f>
        <v>No salary data</v>
      </c>
      <c r="J1352" s="7"/>
      <c r="K1352" s="7" t="str">
        <f>IFERROR(__xludf.DUMMYFUNCTION("""COMPUTED_VALUE"""),"No job type data")</f>
        <v>No job type data</v>
      </c>
      <c r="L1352" s="7" t="str">
        <f>IFERROR(__xludf.DUMMYFUNCTION("""COMPUTED_VALUE"""),"None")</f>
        <v>None</v>
      </c>
      <c r="M1352" s="7"/>
      <c r="N1352" s="7"/>
      <c r="O1352" s="7"/>
    </row>
    <row r="1353">
      <c r="A1353" s="29">
        <f>IFERROR(__xludf.DUMMYFUNCTION("""COMPUTED_VALUE"""),1349.0)</f>
        <v>1349</v>
      </c>
      <c r="B1353" s="7" t="str">
        <f>IFERROR(__xludf.DUMMYFUNCTION("""COMPUTED_VALUE"""),"Vor mehr als 30 Tagen")</f>
        <v>Vor mehr als 30 Tagen</v>
      </c>
      <c r="C1353" s="7" t="str">
        <f>IFERROR(__xludf.DUMMYFUNCTION("""COMPUTED_VALUE"""),"Für Freelancer: Project in Munich-with Remote: Backend Devel...")</f>
        <v>Für Freelancer: Project in Munich-with Remote: Backend Devel...</v>
      </c>
      <c r="D1353" s="7" t="str">
        <f>IFERROR(__xludf.DUMMYFUNCTION("""COMPUTED_VALUE"""),"München")</f>
        <v>München</v>
      </c>
      <c r="E1353" s="7" t="str">
        <f>IFERROR(__xludf.DUMMYFUNCTION("""COMPUTED_VALUE"""),"None")</f>
        <v>None</v>
      </c>
      <c r="F1353" s="7" t="str">
        <f>IFERROR(__xludf.DUMMYFUNCTION("""COMPUTED_VALUE"""),"None")</f>
        <v>None</v>
      </c>
      <c r="G1353" s="7" t="str">
        <f>IFERROR(__xludf.DUMMYFUNCTION("""COMPUTED_VALUE"""),"No salary data")</f>
        <v>No salary data</v>
      </c>
      <c r="H1353" s="7" t="str">
        <f>IFERROR(__xludf.DUMMYFUNCTION("""COMPUTED_VALUE"""),"No salary data")</f>
        <v>No salary data</v>
      </c>
      <c r="I1353" s="7" t="str">
        <f>IFERROR(__xludf.DUMMYFUNCTION("""COMPUTED_VALUE"""),"No salary data")</f>
        <v>No salary data</v>
      </c>
      <c r="J1353" s="7"/>
      <c r="K1353" s="7" t="str">
        <f>IFERROR(__xludf.DUMMYFUNCTION("""COMPUTED_VALUE"""),"No job type data")</f>
        <v>No job type data</v>
      </c>
      <c r="L1353" s="7" t="str">
        <f>IFERROR(__xludf.DUMMYFUNCTION("""COMPUTED_VALUE"""),"None")</f>
        <v>None</v>
      </c>
      <c r="M1353" s="7"/>
      <c r="N1353" s="7"/>
      <c r="O1353" s="7"/>
    </row>
    <row r="1354">
      <c r="A1354" s="29">
        <f>IFERROR(__xludf.DUMMYFUNCTION("""COMPUTED_VALUE"""),1350.0)</f>
        <v>1350</v>
      </c>
      <c r="B1354" s="7" t="str">
        <f>IFERROR(__xludf.DUMMYFUNCTION("""COMPUTED_VALUE"""),"Vor mehr als 30 Tagen")</f>
        <v>Vor mehr als 30 Tagen</v>
      </c>
      <c r="C1354" s="7" t="str">
        <f>IFERROR(__xludf.DUMMYFUNCTION("""COMPUTED_VALUE"""),"DevOps Engineer - Streaming Focus (m/w/d)")</f>
        <v>DevOps Engineer - Streaming Focus (m/w/d)</v>
      </c>
      <c r="D1354" s="7" t="str">
        <f>IFERROR(__xludf.DUMMYFUNCTION("""COMPUTED_VALUE"""),"München")</f>
        <v>München</v>
      </c>
      <c r="E1354" s="7" t="str">
        <f>IFERROR(__xludf.DUMMYFUNCTION("""COMPUTED_VALUE"""),"Ippen Digital GmbH &amp; Co. KG")</f>
        <v>Ippen Digital GmbH &amp; Co. KG</v>
      </c>
      <c r="F1354" s="7" t="str">
        <f>IFERROR(__xludf.DUMMYFUNCTION("""COMPUTED_VALUE"""),"None")</f>
        <v>None</v>
      </c>
      <c r="G1354" s="7" t="str">
        <f>IFERROR(__xludf.DUMMYFUNCTION("""COMPUTED_VALUE"""),"No salary data")</f>
        <v>No salary data</v>
      </c>
      <c r="H1354" s="7" t="str">
        <f>IFERROR(__xludf.DUMMYFUNCTION("""COMPUTED_VALUE"""),"No salary data")</f>
        <v>No salary data</v>
      </c>
      <c r="I1354" s="7" t="str">
        <f>IFERROR(__xludf.DUMMYFUNCTION("""COMPUTED_VALUE"""),"No salary data")</f>
        <v>No salary data</v>
      </c>
      <c r="J1354" s="7" t="str">
        <f>IFERROR(__xludf.DUMMYFUNCTION("""COMPUTED_VALUE"""),"Git, Linux, Agile")</f>
        <v>Git, Linux, Agile</v>
      </c>
      <c r="K1354" s="7" t="str">
        <f>IFERROR(__xludf.DUMMYFUNCTION("""COMPUTED_VALUE"""),"No job type data")</f>
        <v>No job type data</v>
      </c>
      <c r="L1354" s="7" t="str">
        <f>IFERROR(__xludf.DUMMYFUNCTION("""COMPUTED_VALUE"""),"None")</f>
        <v>None</v>
      </c>
      <c r="M1354" s="7"/>
      <c r="N1354" s="7"/>
      <c r="O1354" s="7"/>
    </row>
    <row r="1355">
      <c r="A1355" s="29">
        <f>IFERROR(__xludf.DUMMYFUNCTION("""COMPUTED_VALUE"""),1351.0)</f>
        <v>1351</v>
      </c>
      <c r="B1355" s="7" t="str">
        <f>IFERROR(__xludf.DUMMYFUNCTION("""COMPUTED_VALUE"""),"vor 5 Tagen")</f>
        <v>vor 5 Tagen</v>
      </c>
      <c r="C1355" s="7" t="str">
        <f>IFERROR(__xludf.DUMMYFUNCTION("""COMPUTED_VALUE"""),"Für Freelancer: SAP MDG ABAP Senior Entwickler (w/m/d) für e...")</f>
        <v>Für Freelancer: SAP MDG ABAP Senior Entwickler (w/m/d) für e...</v>
      </c>
      <c r="D1355" s="7" t="str">
        <f>IFERROR(__xludf.DUMMYFUNCTION("""COMPUTED_VALUE"""),"Stuttgart")</f>
        <v>Stuttgart</v>
      </c>
      <c r="E1355" s="7" t="str">
        <f>IFERROR(__xludf.DUMMYFUNCTION("""COMPUTED_VALUE"""),"None")</f>
        <v>None</v>
      </c>
      <c r="F1355" s="7" t="str">
        <f>IFERROR(__xludf.DUMMYFUNCTION("""COMPUTED_VALUE"""),"None")</f>
        <v>None</v>
      </c>
      <c r="G1355" s="7" t="str">
        <f>IFERROR(__xludf.DUMMYFUNCTION("""COMPUTED_VALUE"""),"No salary data")</f>
        <v>No salary data</v>
      </c>
      <c r="H1355" s="7" t="str">
        <f>IFERROR(__xludf.DUMMYFUNCTION("""COMPUTED_VALUE"""),"No salary data")</f>
        <v>No salary data</v>
      </c>
      <c r="I1355" s="7" t="str">
        <f>IFERROR(__xludf.DUMMYFUNCTION("""COMPUTED_VALUE"""),"No salary data")</f>
        <v>No salary data</v>
      </c>
      <c r="J1355" s="7"/>
      <c r="K1355" s="7" t="str">
        <f>IFERROR(__xludf.DUMMYFUNCTION("""COMPUTED_VALUE"""),"No job type data")</f>
        <v>No job type data</v>
      </c>
      <c r="L1355" s="7" t="str">
        <f>IFERROR(__xludf.DUMMYFUNCTION("""COMPUTED_VALUE"""),"None")</f>
        <v>None</v>
      </c>
      <c r="M1355" s="7"/>
      <c r="N1355" s="7"/>
      <c r="O1355" s="7"/>
    </row>
    <row r="1356">
      <c r="A1356" s="29">
        <f>IFERROR(__xludf.DUMMYFUNCTION("""COMPUTED_VALUE"""),1352.0)</f>
        <v>1352</v>
      </c>
      <c r="B1356" s="7" t="str">
        <f>IFERROR(__xludf.DUMMYFUNCTION("""COMPUTED_VALUE"""),"Vor mehr als 30 Tagen")</f>
        <v>Vor mehr als 30 Tagen</v>
      </c>
      <c r="C1356" s="7" t="str">
        <f>IFERROR(__xludf.DUMMYFUNCTION("""COMPUTED_VALUE"""),"Für Freelancer: Projekt in Hannover: SAP BW Berater/Entwickl...")</f>
        <v>Für Freelancer: Projekt in Hannover: SAP BW Berater/Entwickl...</v>
      </c>
      <c r="D1356" s="7" t="str">
        <f>IFERROR(__xludf.DUMMYFUNCTION("""COMPUTED_VALUE"""),"Hannover")</f>
        <v>Hannover</v>
      </c>
      <c r="E1356" s="7" t="str">
        <f>IFERROR(__xludf.DUMMYFUNCTION("""COMPUTED_VALUE"""),"None")</f>
        <v>None</v>
      </c>
      <c r="F1356" s="7" t="str">
        <f>IFERROR(__xludf.DUMMYFUNCTION("""COMPUTED_VALUE"""),"None")</f>
        <v>None</v>
      </c>
      <c r="G1356" s="7" t="str">
        <f>IFERROR(__xludf.DUMMYFUNCTION("""COMPUTED_VALUE"""),"No salary data")</f>
        <v>No salary data</v>
      </c>
      <c r="H1356" s="7" t="str">
        <f>IFERROR(__xludf.DUMMYFUNCTION("""COMPUTED_VALUE"""),"No salary data")</f>
        <v>No salary data</v>
      </c>
      <c r="I1356" s="7" t="str">
        <f>IFERROR(__xludf.DUMMYFUNCTION("""COMPUTED_VALUE"""),"No salary data")</f>
        <v>No salary data</v>
      </c>
      <c r="J1356" s="7"/>
      <c r="K1356" s="7" t="str">
        <f>IFERROR(__xludf.DUMMYFUNCTION("""COMPUTED_VALUE"""),"No job type data")</f>
        <v>No job type data</v>
      </c>
      <c r="L1356" s="7" t="str">
        <f>IFERROR(__xludf.DUMMYFUNCTION("""COMPUTED_VALUE"""),"None")</f>
        <v>None</v>
      </c>
      <c r="M1356" s="7"/>
      <c r="N1356" s="7"/>
      <c r="O1356" s="7"/>
    </row>
    <row r="1357">
      <c r="A1357" s="29">
        <f>IFERROR(__xludf.DUMMYFUNCTION("""COMPUTED_VALUE"""),1353.0)</f>
        <v>1353</v>
      </c>
      <c r="B1357" s="7" t="str">
        <f>IFERROR(__xludf.DUMMYFUNCTION("""COMPUTED_VALUE"""),"Vor mehr als 30 Tagen")</f>
        <v>Vor mehr als 30 Tagen</v>
      </c>
      <c r="C1357" s="7" t="str">
        <f>IFERROR(__xludf.DUMMYFUNCTION("""COMPUTED_VALUE"""),"Entwickler für Java-Anwendungen (m/w/d)")</f>
        <v>Entwickler für Java-Anwendungen (m/w/d)</v>
      </c>
      <c r="D1357" s="7" t="str">
        <f>IFERROR(__xludf.DUMMYFUNCTION("""COMPUTED_VALUE"""),"Gotha")</f>
        <v>Gotha</v>
      </c>
      <c r="E1357" s="7" t="str">
        <f>IFERROR(__xludf.DUMMYFUNCTION("""COMPUTED_VALUE"""),"Finanz-DATA GmbH")</f>
        <v>Finanz-DATA GmbH</v>
      </c>
      <c r="F1357" s="7" t="str">
        <f>IFERROR(__xludf.DUMMYFUNCTION("""COMPUTED_VALUE"""),"None")</f>
        <v>None</v>
      </c>
      <c r="G1357" s="7" t="str">
        <f>IFERROR(__xludf.DUMMYFUNCTION("""COMPUTED_VALUE"""),"No salary data")</f>
        <v>No salary data</v>
      </c>
      <c r="H1357" s="7" t="str">
        <f>IFERROR(__xludf.DUMMYFUNCTION("""COMPUTED_VALUE"""),"No salary data")</f>
        <v>No salary data</v>
      </c>
      <c r="I1357" s="7" t="str">
        <f>IFERROR(__xludf.DUMMYFUNCTION("""COMPUTED_VALUE"""),"No salary data")</f>
        <v>No salary data</v>
      </c>
      <c r="J1357" s="7" t="str">
        <f>IFERROR(__xludf.DUMMYFUNCTION("""COMPUTED_VALUE"""),"SQL, Git, Agile")</f>
        <v>SQL, Git, Agile</v>
      </c>
      <c r="K1357" s="7" t="str">
        <f>IFERROR(__xludf.DUMMYFUNCTION("""COMPUTED_VALUE"""),"No job type data")</f>
        <v>No job type data</v>
      </c>
      <c r="L1357" s="7" t="str">
        <f>IFERROR(__xludf.DUMMYFUNCTION("""COMPUTED_VALUE"""),"None")</f>
        <v>None</v>
      </c>
      <c r="M1357" s="7"/>
      <c r="N1357" s="7"/>
      <c r="O1357" s="7"/>
    </row>
    <row r="1358">
      <c r="A1358" s="29">
        <f>IFERROR(__xludf.DUMMYFUNCTION("""COMPUTED_VALUE"""),1354.0)</f>
        <v>1354</v>
      </c>
      <c r="B1358" s="7" t="str">
        <f>IFERROR(__xludf.DUMMYFUNCTION("""COMPUTED_VALUE"""),"Vor mehr als 30 Tagen")</f>
        <v>Vor mehr als 30 Tagen</v>
      </c>
      <c r="C1358" s="7" t="str">
        <f>IFERROR(__xludf.DUMMYFUNCTION("""COMPUTED_VALUE"""),"AWS Cloud Data Architect (m/w/d)")</f>
        <v>AWS Cloud Data Architect (m/w/d)</v>
      </c>
      <c r="D1358" s="7" t="str">
        <f>IFERROR(__xludf.DUMMYFUNCTION("""COMPUTED_VALUE"""),"Köln")</f>
        <v>Köln</v>
      </c>
      <c r="E1358" s="7" t="str">
        <f>IFERROR(__xludf.DUMMYFUNCTION("""COMPUTED_VALUE"""),"TecAlliance GmbH")</f>
        <v>TecAlliance GmbH</v>
      </c>
      <c r="F1358" s="7" t="str">
        <f>IFERROR(__xludf.DUMMYFUNCTION("""COMPUTED_VALUE"""),"None")</f>
        <v>None</v>
      </c>
      <c r="G1358" s="7" t="str">
        <f>IFERROR(__xludf.DUMMYFUNCTION("""COMPUTED_VALUE"""),"No salary data")</f>
        <v>No salary data</v>
      </c>
      <c r="H1358" s="7" t="str">
        <f>IFERROR(__xludf.DUMMYFUNCTION("""COMPUTED_VALUE"""),"No salary data")</f>
        <v>No salary data</v>
      </c>
      <c r="I1358" s="7" t="str">
        <f>IFERROR(__xludf.DUMMYFUNCTION("""COMPUTED_VALUE"""),"No salary data")</f>
        <v>No salary data</v>
      </c>
      <c r="J1358" s="7" t="str">
        <f>IFERROR(__xludf.DUMMYFUNCTION("""COMPUTED_VALUE"""),"SQL, Git, Agile")</f>
        <v>SQL, Git, Agile</v>
      </c>
      <c r="K1358" s="7" t="str">
        <f>IFERROR(__xludf.DUMMYFUNCTION("""COMPUTED_VALUE"""),"No job type data")</f>
        <v>No job type data</v>
      </c>
      <c r="L1358" s="7" t="str">
        <f>IFERROR(__xludf.DUMMYFUNCTION("""COMPUTED_VALUE"""),"4,5")</f>
        <v>4,5</v>
      </c>
      <c r="M1358" s="7"/>
      <c r="N1358" s="7"/>
      <c r="O1358" s="7"/>
    </row>
    <row r="1359">
      <c r="A1359" s="29">
        <f>IFERROR(__xludf.DUMMYFUNCTION("""COMPUTED_VALUE"""),1355.0)</f>
        <v>1355</v>
      </c>
      <c r="B1359" s="7" t="str">
        <f>IFERROR(__xludf.DUMMYFUNCTION("""COMPUTED_VALUE"""),"Vor mehr als 30 Tagen")</f>
        <v>Vor mehr als 30 Tagen</v>
      </c>
      <c r="C1359" s="7" t="str">
        <f>IFERROR(__xludf.DUMMYFUNCTION("""COMPUTED_VALUE"""),"Für Freelancer: Projekt in Karlsruhe: Enterprise Architect (...")</f>
        <v>Für Freelancer: Projekt in Karlsruhe: Enterprise Architect (...</v>
      </c>
      <c r="D1359" s="7" t="str">
        <f>IFERROR(__xludf.DUMMYFUNCTION("""COMPUTED_VALUE"""),"Karlsruhe")</f>
        <v>Karlsruhe</v>
      </c>
      <c r="E1359" s="7" t="str">
        <f>IFERROR(__xludf.DUMMYFUNCTION("""COMPUTED_VALUE"""),"None")</f>
        <v>None</v>
      </c>
      <c r="F1359" s="7" t="str">
        <f>IFERROR(__xludf.DUMMYFUNCTION("""COMPUTED_VALUE"""),"None")</f>
        <v>None</v>
      </c>
      <c r="G1359" s="7" t="str">
        <f>IFERROR(__xludf.DUMMYFUNCTION("""COMPUTED_VALUE"""),"No salary data")</f>
        <v>No salary data</v>
      </c>
      <c r="H1359" s="7" t="str">
        <f>IFERROR(__xludf.DUMMYFUNCTION("""COMPUTED_VALUE"""),"No salary data")</f>
        <v>No salary data</v>
      </c>
      <c r="I1359" s="7" t="str">
        <f>IFERROR(__xludf.DUMMYFUNCTION("""COMPUTED_VALUE"""),"No salary data")</f>
        <v>No salary data</v>
      </c>
      <c r="J1359" s="7"/>
      <c r="K1359" s="7" t="str">
        <f>IFERROR(__xludf.DUMMYFUNCTION("""COMPUTED_VALUE"""),"No job type data")</f>
        <v>No job type data</v>
      </c>
      <c r="L1359" s="7" t="str">
        <f>IFERROR(__xludf.DUMMYFUNCTION("""COMPUTED_VALUE"""),"None")</f>
        <v>None</v>
      </c>
      <c r="M1359" s="7"/>
      <c r="N1359" s="7"/>
      <c r="O1359" s="7"/>
    </row>
    <row r="1360">
      <c r="A1360" s="29">
        <f>IFERROR(__xludf.DUMMYFUNCTION("""COMPUTED_VALUE"""),1356.0)</f>
        <v>1356</v>
      </c>
      <c r="B1360" s="7" t="str">
        <f>IFERROR(__xludf.DUMMYFUNCTION("""COMPUTED_VALUE"""),"Heute")</f>
        <v>Heute</v>
      </c>
      <c r="C1360" s="7" t="str">
        <f>IFERROR(__xludf.DUMMYFUNCTION("""COMPUTED_VALUE"""),"Für Freelancer: Applikation Manager Klinisch/Medizinischer S...")</f>
        <v>Für Freelancer: Applikation Manager Klinisch/Medizinischer S...</v>
      </c>
      <c r="D1360" s="7" t="str">
        <f>IFERROR(__xludf.DUMMYFUNCTION("""COMPUTED_VALUE"""),"Köln")</f>
        <v>Köln</v>
      </c>
      <c r="E1360" s="7" t="str">
        <f>IFERROR(__xludf.DUMMYFUNCTION("""COMPUTED_VALUE"""),"None")</f>
        <v>None</v>
      </c>
      <c r="F1360" s="7" t="str">
        <f>IFERROR(__xludf.DUMMYFUNCTION("""COMPUTED_VALUE"""),"None")</f>
        <v>None</v>
      </c>
      <c r="G1360" s="7" t="str">
        <f>IFERROR(__xludf.DUMMYFUNCTION("""COMPUTED_VALUE"""),"No salary data")</f>
        <v>No salary data</v>
      </c>
      <c r="H1360" s="7" t="str">
        <f>IFERROR(__xludf.DUMMYFUNCTION("""COMPUTED_VALUE"""),"No salary data")</f>
        <v>No salary data</v>
      </c>
      <c r="I1360" s="7" t="str">
        <f>IFERROR(__xludf.DUMMYFUNCTION("""COMPUTED_VALUE"""),"No salary data")</f>
        <v>No salary data</v>
      </c>
      <c r="J1360" s="7" t="str">
        <f>IFERROR(__xludf.DUMMYFUNCTION("""COMPUTED_VALUE"""),"SQL")</f>
        <v>SQL</v>
      </c>
      <c r="K1360" s="7" t="str">
        <f>IFERROR(__xludf.DUMMYFUNCTION("""COMPUTED_VALUE"""),"No job type data")</f>
        <v>No job type data</v>
      </c>
      <c r="L1360" s="7" t="str">
        <f>IFERROR(__xludf.DUMMYFUNCTION("""COMPUTED_VALUE"""),"None")</f>
        <v>None</v>
      </c>
      <c r="M1360" s="7"/>
      <c r="N1360" s="7"/>
      <c r="O1360" s="7"/>
    </row>
    <row r="1361">
      <c r="A1361" s="29">
        <f>IFERROR(__xludf.DUMMYFUNCTION("""COMPUTED_VALUE"""),1357.0)</f>
        <v>1357</v>
      </c>
      <c r="B1361" s="7" t="str">
        <f>IFERROR(__xludf.DUMMYFUNCTION("""COMPUTED_VALUE"""),"Vor mehr als 30 Tagen")</f>
        <v>Vor mehr als 30 Tagen</v>
      </c>
      <c r="C1361" s="7" t="str">
        <f>IFERROR(__xludf.DUMMYFUNCTION("""COMPUTED_VALUE"""),"Für Freelancer: Data Engineering - Big Data")</f>
        <v>Für Freelancer: Data Engineering - Big Data</v>
      </c>
      <c r="D1361" s="7" t="str">
        <f>IFERROR(__xludf.DUMMYFUNCTION("""COMPUTED_VALUE"""),"Stuttgart")</f>
        <v>Stuttgart</v>
      </c>
      <c r="E1361" s="7" t="str">
        <f>IFERROR(__xludf.DUMMYFUNCTION("""COMPUTED_VALUE"""),"None")</f>
        <v>None</v>
      </c>
      <c r="F1361" s="7" t="str">
        <f>IFERROR(__xludf.DUMMYFUNCTION("""COMPUTED_VALUE"""),"None")</f>
        <v>None</v>
      </c>
      <c r="G1361" s="7" t="str">
        <f>IFERROR(__xludf.DUMMYFUNCTION("""COMPUTED_VALUE"""),"No salary data")</f>
        <v>No salary data</v>
      </c>
      <c r="H1361" s="7" t="str">
        <f>IFERROR(__xludf.DUMMYFUNCTION("""COMPUTED_VALUE"""),"No salary data")</f>
        <v>No salary data</v>
      </c>
      <c r="I1361" s="7" t="str">
        <f>IFERROR(__xludf.DUMMYFUNCTION("""COMPUTED_VALUE"""),"No salary data")</f>
        <v>No salary data</v>
      </c>
      <c r="J1361" s="7"/>
      <c r="K1361" s="7" t="str">
        <f>IFERROR(__xludf.DUMMYFUNCTION("""COMPUTED_VALUE"""),"No job type data")</f>
        <v>No job type data</v>
      </c>
      <c r="L1361" s="7" t="str">
        <f>IFERROR(__xludf.DUMMYFUNCTION("""COMPUTED_VALUE"""),"None")</f>
        <v>None</v>
      </c>
      <c r="M1361" s="7"/>
      <c r="N1361" s="7"/>
      <c r="O1361" s="7"/>
    </row>
    <row r="1362">
      <c r="A1362" s="29">
        <f>IFERROR(__xludf.DUMMYFUNCTION("""COMPUTED_VALUE"""),1358.0)</f>
        <v>1358</v>
      </c>
      <c r="B1362" s="7" t="str">
        <f>IFERROR(__xludf.DUMMYFUNCTION("""COMPUTED_VALUE"""),"vor 12 Tagen")</f>
        <v>vor 12 Tagen</v>
      </c>
      <c r="C1362" s="7" t="str">
        <f>IFERROR(__xludf.DUMMYFUNCTION("""COMPUTED_VALUE"""),"Für Freelancer: Business Analyst SAP BI w/m/d")</f>
        <v>Für Freelancer: Business Analyst SAP BI w/m/d</v>
      </c>
      <c r="D1362" s="7" t="str">
        <f>IFERROR(__xludf.DUMMYFUNCTION("""COMPUTED_VALUE"""),"Hamburg")</f>
        <v>Hamburg</v>
      </c>
      <c r="E1362" s="7" t="str">
        <f>IFERROR(__xludf.DUMMYFUNCTION("""COMPUTED_VALUE"""),"None")</f>
        <v>None</v>
      </c>
      <c r="F1362" s="7" t="str">
        <f>IFERROR(__xludf.DUMMYFUNCTION("""COMPUTED_VALUE"""),"None")</f>
        <v>None</v>
      </c>
      <c r="G1362" s="7" t="str">
        <f>IFERROR(__xludf.DUMMYFUNCTION("""COMPUTED_VALUE"""),"No salary data")</f>
        <v>No salary data</v>
      </c>
      <c r="H1362" s="7" t="str">
        <f>IFERROR(__xludf.DUMMYFUNCTION("""COMPUTED_VALUE"""),"No salary data")</f>
        <v>No salary data</v>
      </c>
      <c r="I1362" s="7" t="str">
        <f>IFERROR(__xludf.DUMMYFUNCTION("""COMPUTED_VALUE"""),"No salary data")</f>
        <v>No salary data</v>
      </c>
      <c r="J1362" s="7" t="str">
        <f>IFERROR(__xludf.DUMMYFUNCTION("""COMPUTED_VALUE"""),"SQL, Kanban, Jira")</f>
        <v>SQL, Kanban, Jira</v>
      </c>
      <c r="K1362" s="7" t="str">
        <f>IFERROR(__xludf.DUMMYFUNCTION("""COMPUTED_VALUE"""),"No job type data")</f>
        <v>No job type data</v>
      </c>
      <c r="L1362" s="7" t="str">
        <f>IFERROR(__xludf.DUMMYFUNCTION("""COMPUTED_VALUE"""),"None")</f>
        <v>None</v>
      </c>
      <c r="M1362" s="7"/>
      <c r="N1362" s="7"/>
      <c r="O1362" s="7"/>
    </row>
    <row r="1363">
      <c r="A1363" s="29">
        <f>IFERROR(__xludf.DUMMYFUNCTION("""COMPUTED_VALUE"""),1359.0)</f>
        <v>1359</v>
      </c>
      <c r="B1363" s="7" t="str">
        <f>IFERROR(__xludf.DUMMYFUNCTION("""COMPUTED_VALUE"""),"vor 12 Tagen")</f>
        <v>vor 12 Tagen</v>
      </c>
      <c r="C1363" s="7" t="str">
        <f>IFERROR(__xludf.DUMMYFUNCTION("""COMPUTED_VALUE"""),"Für Freelancer: Systemingenieur (m/w/d)")</f>
        <v>Für Freelancer: Systemingenieur (m/w/d)</v>
      </c>
      <c r="D1363" s="7" t="str">
        <f>IFERROR(__xludf.DUMMYFUNCTION("""COMPUTED_VALUE"""),"Home Office")</f>
        <v>Home Office</v>
      </c>
      <c r="E1363" s="7" t="str">
        <f>IFERROR(__xludf.DUMMYFUNCTION("""COMPUTED_VALUE"""),"None")</f>
        <v>None</v>
      </c>
      <c r="F1363" s="7" t="str">
        <f>IFERROR(__xludf.DUMMYFUNCTION("""COMPUTED_VALUE"""),"None")</f>
        <v>None</v>
      </c>
      <c r="G1363" s="7" t="str">
        <f>IFERROR(__xludf.DUMMYFUNCTION("""COMPUTED_VALUE"""),"No salary data")</f>
        <v>No salary data</v>
      </c>
      <c r="H1363" s="7" t="str">
        <f>IFERROR(__xludf.DUMMYFUNCTION("""COMPUTED_VALUE"""),"No salary data")</f>
        <v>No salary data</v>
      </c>
      <c r="I1363" s="7" t="str">
        <f>IFERROR(__xludf.DUMMYFUNCTION("""COMPUTED_VALUE"""),"No salary data")</f>
        <v>No salary data</v>
      </c>
      <c r="J1363" s="7"/>
      <c r="K1363" s="7" t="str">
        <f>IFERROR(__xludf.DUMMYFUNCTION("""COMPUTED_VALUE"""),"No job type data")</f>
        <v>No job type data</v>
      </c>
      <c r="L1363" s="7" t="str">
        <f>IFERROR(__xludf.DUMMYFUNCTION("""COMPUTED_VALUE"""),"None")</f>
        <v>None</v>
      </c>
      <c r="M1363" s="7"/>
      <c r="N1363" s="7"/>
      <c r="O1363" s="7"/>
    </row>
    <row r="1364">
      <c r="A1364" s="29">
        <f>IFERROR(__xludf.DUMMYFUNCTION("""COMPUTED_VALUE"""),1360.0)</f>
        <v>1360</v>
      </c>
      <c r="B1364" s="7" t="str">
        <f>IFERROR(__xludf.DUMMYFUNCTION("""COMPUTED_VALUE"""),"Vor mehr als 30 Tagen")</f>
        <v>Vor mehr als 30 Tagen</v>
      </c>
      <c r="C1364" s="7" t="str">
        <f>IFERROR(__xludf.DUMMYFUNCTION("""COMPUTED_VALUE"""),"Für Freelancer: NetApp Experte (m/w/d)")</f>
        <v>Für Freelancer: NetApp Experte (m/w/d)</v>
      </c>
      <c r="D1364" s="7" t="str">
        <f>IFERROR(__xludf.DUMMYFUNCTION("""COMPUTED_VALUE"""),"Stuttgart")</f>
        <v>Stuttgart</v>
      </c>
      <c r="E1364" s="7" t="str">
        <f>IFERROR(__xludf.DUMMYFUNCTION("""COMPUTED_VALUE"""),"None")</f>
        <v>None</v>
      </c>
      <c r="F1364" s="7" t="str">
        <f>IFERROR(__xludf.DUMMYFUNCTION("""COMPUTED_VALUE"""),"None")</f>
        <v>None</v>
      </c>
      <c r="G1364" s="7" t="str">
        <f>IFERROR(__xludf.DUMMYFUNCTION("""COMPUTED_VALUE"""),"No salary data")</f>
        <v>No salary data</v>
      </c>
      <c r="H1364" s="7" t="str">
        <f>IFERROR(__xludf.DUMMYFUNCTION("""COMPUTED_VALUE"""),"No salary data")</f>
        <v>No salary data</v>
      </c>
      <c r="I1364" s="7" t="str">
        <f>IFERROR(__xludf.DUMMYFUNCTION("""COMPUTED_VALUE"""),"No salary data")</f>
        <v>No salary data</v>
      </c>
      <c r="J1364" s="7"/>
      <c r="K1364" s="7" t="str">
        <f>IFERROR(__xludf.DUMMYFUNCTION("""COMPUTED_VALUE"""),"No job type data")</f>
        <v>No job type data</v>
      </c>
      <c r="L1364" s="7" t="str">
        <f>IFERROR(__xludf.DUMMYFUNCTION("""COMPUTED_VALUE"""),"None")</f>
        <v>None</v>
      </c>
      <c r="M1364" s="7"/>
      <c r="N1364" s="7"/>
      <c r="O1364" s="7"/>
    </row>
    <row r="1365">
      <c r="A1365" s="29">
        <f>IFERROR(__xludf.DUMMYFUNCTION("""COMPUTED_VALUE"""),1361.0)</f>
        <v>1361</v>
      </c>
      <c r="B1365" s="7" t="str">
        <f>IFERROR(__xludf.DUMMYFUNCTION("""COMPUTED_VALUE"""),"vor 12 Tagen")</f>
        <v>vor 12 Tagen</v>
      </c>
      <c r="C1365" s="7" t="str">
        <f>IFERROR(__xludf.DUMMYFUNCTION("""COMPUTED_VALUE"""),"Für Freelancer: Solution Architekt SAP BI w/m/d")</f>
        <v>Für Freelancer: Solution Architekt SAP BI w/m/d</v>
      </c>
      <c r="D1365" s="7" t="str">
        <f>IFERROR(__xludf.DUMMYFUNCTION("""COMPUTED_VALUE"""),"Hamburg")</f>
        <v>Hamburg</v>
      </c>
      <c r="E1365" s="7" t="str">
        <f>IFERROR(__xludf.DUMMYFUNCTION("""COMPUTED_VALUE"""),"None")</f>
        <v>None</v>
      </c>
      <c r="F1365" s="7" t="str">
        <f>IFERROR(__xludf.DUMMYFUNCTION("""COMPUTED_VALUE"""),"None")</f>
        <v>None</v>
      </c>
      <c r="G1365" s="7" t="str">
        <f>IFERROR(__xludf.DUMMYFUNCTION("""COMPUTED_VALUE"""),"No salary data")</f>
        <v>No salary data</v>
      </c>
      <c r="H1365" s="7" t="str">
        <f>IFERROR(__xludf.DUMMYFUNCTION("""COMPUTED_VALUE"""),"No salary data")</f>
        <v>No salary data</v>
      </c>
      <c r="I1365" s="7" t="str">
        <f>IFERROR(__xludf.DUMMYFUNCTION("""COMPUTED_VALUE"""),"No salary data")</f>
        <v>No salary data</v>
      </c>
      <c r="J1365" s="7" t="str">
        <f>IFERROR(__xludf.DUMMYFUNCTION("""COMPUTED_VALUE"""),"SQL")</f>
        <v>SQL</v>
      </c>
      <c r="K1365" s="7" t="str">
        <f>IFERROR(__xludf.DUMMYFUNCTION("""COMPUTED_VALUE"""),"No job type data")</f>
        <v>No job type data</v>
      </c>
      <c r="L1365" s="7" t="str">
        <f>IFERROR(__xludf.DUMMYFUNCTION("""COMPUTED_VALUE"""),"None")</f>
        <v>None</v>
      </c>
      <c r="M1365" s="7"/>
      <c r="N1365" s="7"/>
      <c r="O1365" s="7"/>
    </row>
    <row r="1366">
      <c r="A1366" s="29">
        <f>IFERROR(__xludf.DUMMYFUNCTION("""COMPUTED_VALUE"""),1362.0)</f>
        <v>1362</v>
      </c>
      <c r="B1366" s="7" t="str">
        <f>IFERROR(__xludf.DUMMYFUNCTION("""COMPUTED_VALUE"""),"vor 17 Tagen")</f>
        <v>vor 17 Tagen</v>
      </c>
      <c r="C1366" s="7" t="str">
        <f>IFERROR(__xludf.DUMMYFUNCTION("""COMPUTED_VALUE"""),"Für Freelancer: Unterstützung Validierung / GMP - Fulltime -...")</f>
        <v>Für Freelancer: Unterstützung Validierung / GMP - Fulltime -...</v>
      </c>
      <c r="D1366" s="7" t="str">
        <f>IFERROR(__xludf.DUMMYFUNCTION("""COMPUTED_VALUE"""),"Köln")</f>
        <v>Köln</v>
      </c>
      <c r="E1366" s="7" t="str">
        <f>IFERROR(__xludf.DUMMYFUNCTION("""COMPUTED_VALUE"""),"None")</f>
        <v>None</v>
      </c>
      <c r="F1366" s="7" t="str">
        <f>IFERROR(__xludf.DUMMYFUNCTION("""COMPUTED_VALUE"""),"None")</f>
        <v>None</v>
      </c>
      <c r="G1366" s="7" t="str">
        <f>IFERROR(__xludf.DUMMYFUNCTION("""COMPUTED_VALUE"""),"No salary data")</f>
        <v>No salary data</v>
      </c>
      <c r="H1366" s="7" t="str">
        <f>IFERROR(__xludf.DUMMYFUNCTION("""COMPUTED_VALUE"""),"No salary data")</f>
        <v>No salary data</v>
      </c>
      <c r="I1366" s="7" t="str">
        <f>IFERROR(__xludf.DUMMYFUNCTION("""COMPUTED_VALUE"""),"No salary data")</f>
        <v>No salary data</v>
      </c>
      <c r="J1366" s="7"/>
      <c r="K1366" s="7" t="str">
        <f>IFERROR(__xludf.DUMMYFUNCTION("""COMPUTED_VALUE"""),"No job type data")</f>
        <v>No job type data</v>
      </c>
      <c r="L1366" s="7" t="str">
        <f>IFERROR(__xludf.DUMMYFUNCTION("""COMPUTED_VALUE"""),"None")</f>
        <v>None</v>
      </c>
      <c r="M1366" s="7"/>
      <c r="N1366" s="7"/>
      <c r="O1366" s="7"/>
    </row>
    <row r="1367">
      <c r="A1367" s="29">
        <f>IFERROR(__xludf.DUMMYFUNCTION("""COMPUTED_VALUE"""),1363.0)</f>
        <v>1363</v>
      </c>
      <c r="B1367" s="7" t="str">
        <f>IFERROR(__xludf.DUMMYFUNCTION("""COMPUTED_VALUE"""),"Heute")</f>
        <v>Heute</v>
      </c>
      <c r="C1367" s="7" t="str">
        <f>IFERROR(__xludf.DUMMYFUNCTION("""COMPUTED_VALUE"""),"Für Freelancer: SAP Systemadministrator (m/w/d) #7257")</f>
        <v>Für Freelancer: SAP Systemadministrator (m/w/d) #7257</v>
      </c>
      <c r="D1367" s="7" t="str">
        <f>IFERROR(__xludf.DUMMYFUNCTION("""COMPUTED_VALUE"""),"Bonn")</f>
        <v>Bonn</v>
      </c>
      <c r="E1367" s="7" t="str">
        <f>IFERROR(__xludf.DUMMYFUNCTION("""COMPUTED_VALUE"""),"None")</f>
        <v>None</v>
      </c>
      <c r="F1367" s="7" t="str">
        <f>IFERROR(__xludf.DUMMYFUNCTION("""COMPUTED_VALUE"""),"None")</f>
        <v>None</v>
      </c>
      <c r="G1367" s="7" t="str">
        <f>IFERROR(__xludf.DUMMYFUNCTION("""COMPUTED_VALUE"""),"No salary data")</f>
        <v>No salary data</v>
      </c>
      <c r="H1367" s="7" t="str">
        <f>IFERROR(__xludf.DUMMYFUNCTION("""COMPUTED_VALUE"""),"No salary data")</f>
        <v>No salary data</v>
      </c>
      <c r="I1367" s="7" t="str">
        <f>IFERROR(__xludf.DUMMYFUNCTION("""COMPUTED_VALUE"""),"No salary data")</f>
        <v>No salary data</v>
      </c>
      <c r="J1367" s="7" t="str">
        <f>IFERROR(__xludf.DUMMYFUNCTION("""COMPUTED_VALUE"""),"Linux")</f>
        <v>Linux</v>
      </c>
      <c r="K1367" s="7" t="str">
        <f>IFERROR(__xludf.DUMMYFUNCTION("""COMPUTED_VALUE"""),"No job type data")</f>
        <v>No job type data</v>
      </c>
      <c r="L1367" s="7" t="str">
        <f>IFERROR(__xludf.DUMMYFUNCTION("""COMPUTED_VALUE"""),"None")</f>
        <v>None</v>
      </c>
      <c r="M1367" s="7"/>
      <c r="N1367" s="7"/>
      <c r="O1367" s="7"/>
    </row>
    <row r="1368">
      <c r="A1368" s="29">
        <f>IFERROR(__xludf.DUMMYFUNCTION("""COMPUTED_VALUE"""),1364.0)</f>
        <v>1364</v>
      </c>
      <c r="B1368" s="7" t="str">
        <f>IFERROR(__xludf.DUMMYFUNCTION("""COMPUTED_VALUE"""),"vor 27 Tagen")</f>
        <v>vor 27 Tagen</v>
      </c>
      <c r="C1368" s="7" t="str">
        <f>IFERROR(__xludf.DUMMYFUNCTION("""COMPUTED_VALUE"""),"Für Freelancer: Freelance Senior Java Developer")</f>
        <v>Für Freelancer: Freelance Senior Java Developer</v>
      </c>
      <c r="D1368" s="7" t="str">
        <f>IFERROR(__xludf.DUMMYFUNCTION("""COMPUTED_VALUE"""),"Berlin")</f>
        <v>Berlin</v>
      </c>
      <c r="E1368" s="7" t="str">
        <f>IFERROR(__xludf.DUMMYFUNCTION("""COMPUTED_VALUE"""),"None")</f>
        <v>None</v>
      </c>
      <c r="F1368" s="7" t="str">
        <f>IFERROR(__xludf.DUMMYFUNCTION("""COMPUTED_VALUE"""),"None")</f>
        <v>None</v>
      </c>
      <c r="G1368" s="7" t="str">
        <f>IFERROR(__xludf.DUMMYFUNCTION("""COMPUTED_VALUE"""),"No salary data")</f>
        <v>No salary data</v>
      </c>
      <c r="H1368" s="7" t="str">
        <f>IFERROR(__xludf.DUMMYFUNCTION("""COMPUTED_VALUE"""),"No salary data")</f>
        <v>No salary data</v>
      </c>
      <c r="I1368" s="7" t="str">
        <f>IFERROR(__xludf.DUMMYFUNCTION("""COMPUTED_VALUE"""),"No salary data")</f>
        <v>No salary data</v>
      </c>
      <c r="J1368" s="7" t="str">
        <f>IFERROR(__xludf.DUMMYFUNCTION("""COMPUTED_VALUE"""),"Agile")</f>
        <v>Agile</v>
      </c>
      <c r="K1368" s="7" t="str">
        <f>IFERROR(__xludf.DUMMYFUNCTION("""COMPUTED_VALUE"""),"No job type data")</f>
        <v>No job type data</v>
      </c>
      <c r="L1368" s="7" t="str">
        <f>IFERROR(__xludf.DUMMYFUNCTION("""COMPUTED_VALUE"""),"None")</f>
        <v>None</v>
      </c>
      <c r="M1368" s="7"/>
      <c r="N1368" s="7"/>
      <c r="O1368" s="7"/>
    </row>
    <row r="1369">
      <c r="A1369" s="29">
        <f>IFERROR(__xludf.DUMMYFUNCTION("""COMPUTED_VALUE"""),1365.0)</f>
        <v>1365</v>
      </c>
      <c r="B1369" s="7" t="str">
        <f>IFERROR(__xludf.DUMMYFUNCTION("""COMPUTED_VALUE"""),"vor 9 Tagen")</f>
        <v>vor 9 Tagen</v>
      </c>
      <c r="C1369" s="7" t="str">
        <f>IFERROR(__xludf.DUMMYFUNCTION("""COMPUTED_VALUE"""),"Für Freelancer: Software Engineer / DevOps Architekt (m/w)")</f>
        <v>Für Freelancer: Software Engineer / DevOps Architekt (m/w)</v>
      </c>
      <c r="D1369" s="7" t="str">
        <f>IFERROR(__xludf.DUMMYFUNCTION("""COMPUTED_VALUE"""),"Frankfurt am Main")</f>
        <v>Frankfurt am Main</v>
      </c>
      <c r="E1369" s="7" t="str">
        <f>IFERROR(__xludf.DUMMYFUNCTION("""COMPUTED_VALUE"""),"None")</f>
        <v>None</v>
      </c>
      <c r="F1369" s="7" t="str">
        <f>IFERROR(__xludf.DUMMYFUNCTION("""COMPUTED_VALUE"""),"None")</f>
        <v>None</v>
      </c>
      <c r="G1369" s="7" t="str">
        <f>IFERROR(__xludf.DUMMYFUNCTION("""COMPUTED_VALUE"""),"No salary data")</f>
        <v>No salary data</v>
      </c>
      <c r="H1369" s="7" t="str">
        <f>IFERROR(__xludf.DUMMYFUNCTION("""COMPUTED_VALUE"""),"No salary data")</f>
        <v>No salary data</v>
      </c>
      <c r="I1369" s="7" t="str">
        <f>IFERROR(__xludf.DUMMYFUNCTION("""COMPUTED_VALUE"""),"No salary data")</f>
        <v>No salary data</v>
      </c>
      <c r="J1369" s="7" t="str">
        <f>IFERROR(__xludf.DUMMYFUNCTION("""COMPUTED_VALUE"""),"Linux, Scrum")</f>
        <v>Linux, Scrum</v>
      </c>
      <c r="K1369" s="7" t="str">
        <f>IFERROR(__xludf.DUMMYFUNCTION("""COMPUTED_VALUE"""),"No job type data")</f>
        <v>No job type data</v>
      </c>
      <c r="L1369" s="7" t="str">
        <f>IFERROR(__xludf.DUMMYFUNCTION("""COMPUTED_VALUE"""),"None")</f>
        <v>None</v>
      </c>
      <c r="M1369" s="7"/>
      <c r="N1369" s="7"/>
      <c r="O1369" s="7"/>
    </row>
    <row r="1370">
      <c r="A1370" s="29">
        <f>IFERROR(__xludf.DUMMYFUNCTION("""COMPUTED_VALUE"""),1366.0)</f>
        <v>1366</v>
      </c>
      <c r="B1370" s="7" t="str">
        <f>IFERROR(__xludf.DUMMYFUNCTION("""COMPUTED_VALUE"""),"vor 6 Tagen")</f>
        <v>vor 6 Tagen</v>
      </c>
      <c r="C1370" s="7" t="str">
        <f>IFERROR(__xludf.DUMMYFUNCTION("""COMPUTED_VALUE"""),"Für Freelancer: SAP und Opentext Berater 200PT ab Januar (m/...")</f>
        <v>Für Freelancer: SAP und Opentext Berater 200PT ab Januar (m/...</v>
      </c>
      <c r="D1370" s="7" t="str">
        <f>IFERROR(__xludf.DUMMYFUNCTION("""COMPUTED_VALUE"""),"Köln")</f>
        <v>Köln</v>
      </c>
      <c r="E1370" s="7" t="str">
        <f>IFERROR(__xludf.DUMMYFUNCTION("""COMPUTED_VALUE"""),"None")</f>
        <v>None</v>
      </c>
      <c r="F1370" s="7" t="str">
        <f>IFERROR(__xludf.DUMMYFUNCTION("""COMPUTED_VALUE"""),"None")</f>
        <v>None</v>
      </c>
      <c r="G1370" s="7" t="str">
        <f>IFERROR(__xludf.DUMMYFUNCTION("""COMPUTED_VALUE"""),"No salary data")</f>
        <v>No salary data</v>
      </c>
      <c r="H1370" s="7" t="str">
        <f>IFERROR(__xludf.DUMMYFUNCTION("""COMPUTED_VALUE"""),"No salary data")</f>
        <v>No salary data</v>
      </c>
      <c r="I1370" s="7" t="str">
        <f>IFERROR(__xludf.DUMMYFUNCTION("""COMPUTED_VALUE"""),"No salary data")</f>
        <v>No salary data</v>
      </c>
      <c r="J1370" s="7"/>
      <c r="K1370" s="7" t="str">
        <f>IFERROR(__xludf.DUMMYFUNCTION("""COMPUTED_VALUE"""),"No job type data")</f>
        <v>No job type data</v>
      </c>
      <c r="L1370" s="7" t="str">
        <f>IFERROR(__xludf.DUMMYFUNCTION("""COMPUTED_VALUE"""),"None")</f>
        <v>None</v>
      </c>
      <c r="M1370" s="7"/>
      <c r="N1370" s="7"/>
      <c r="O1370" s="7"/>
    </row>
    <row r="1371">
      <c r="A1371" s="29">
        <f>IFERROR(__xludf.DUMMYFUNCTION("""COMPUTED_VALUE"""),1367.0)</f>
        <v>1367</v>
      </c>
      <c r="B1371" s="7" t="str">
        <f>IFERROR(__xludf.DUMMYFUNCTION("""COMPUTED_VALUE"""),"Vor mehr als 30 Tagen")</f>
        <v>Vor mehr als 30 Tagen</v>
      </c>
      <c r="C1371" s="7" t="str">
        <f>IFERROR(__xludf.DUMMYFUNCTION("""COMPUTED_VALUE"""),"Für Freelancer: Projekt: Softwareentwicklung Java")</f>
        <v>Für Freelancer: Projekt: Softwareentwicklung Java</v>
      </c>
      <c r="D1371" s="7" t="str">
        <f>IFERROR(__xludf.DUMMYFUNCTION("""COMPUTED_VALUE"""),"Nürnberg")</f>
        <v>Nürnberg</v>
      </c>
      <c r="E1371" s="7" t="str">
        <f>IFERROR(__xludf.DUMMYFUNCTION("""COMPUTED_VALUE"""),"None")</f>
        <v>None</v>
      </c>
      <c r="F1371" s="7" t="str">
        <f>IFERROR(__xludf.DUMMYFUNCTION("""COMPUTED_VALUE"""),"None")</f>
        <v>None</v>
      </c>
      <c r="G1371" s="7" t="str">
        <f>IFERROR(__xludf.DUMMYFUNCTION("""COMPUTED_VALUE"""),"No salary data")</f>
        <v>No salary data</v>
      </c>
      <c r="H1371" s="7" t="str">
        <f>IFERROR(__xludf.DUMMYFUNCTION("""COMPUTED_VALUE"""),"No salary data")</f>
        <v>No salary data</v>
      </c>
      <c r="I1371" s="7" t="str">
        <f>IFERROR(__xludf.DUMMYFUNCTION("""COMPUTED_VALUE"""),"No salary data")</f>
        <v>No salary data</v>
      </c>
      <c r="J1371" s="7" t="str">
        <f>IFERROR(__xludf.DUMMYFUNCTION("""COMPUTED_VALUE"""),"Git, Scrum")</f>
        <v>Git, Scrum</v>
      </c>
      <c r="K1371" s="7" t="str">
        <f>IFERROR(__xludf.DUMMYFUNCTION("""COMPUTED_VALUE"""),"No job type data")</f>
        <v>No job type data</v>
      </c>
      <c r="L1371" s="7" t="str">
        <f>IFERROR(__xludf.DUMMYFUNCTION("""COMPUTED_VALUE"""),"None")</f>
        <v>None</v>
      </c>
      <c r="M1371" s="7"/>
      <c r="N1371" s="7"/>
      <c r="O1371" s="7"/>
    </row>
    <row r="1372">
      <c r="A1372" s="29">
        <f>IFERROR(__xludf.DUMMYFUNCTION("""COMPUTED_VALUE"""),1368.0)</f>
        <v>1368</v>
      </c>
      <c r="B1372" s="7" t="str">
        <f>IFERROR(__xludf.DUMMYFUNCTION("""COMPUTED_VALUE"""),"Vor mehr als 30 Tagen")</f>
        <v>Vor mehr als 30 Tagen</v>
      </c>
      <c r="C1372" s="7" t="str">
        <f>IFERROR(__xludf.DUMMYFUNCTION("""COMPUTED_VALUE"""),"Für Freelancer: Java / SpringBoot Entwickler (m/w/d) Integra...")</f>
        <v>Für Freelancer: Java / SpringBoot Entwickler (m/w/d) Integra...</v>
      </c>
      <c r="D1372" s="7" t="str">
        <f>IFERROR(__xludf.DUMMYFUNCTION("""COMPUTED_VALUE"""),"Frankfurt am Main")</f>
        <v>Frankfurt am Main</v>
      </c>
      <c r="E1372" s="7" t="str">
        <f>IFERROR(__xludf.DUMMYFUNCTION("""COMPUTED_VALUE"""),"None")</f>
        <v>None</v>
      </c>
      <c r="F1372" s="7" t="str">
        <f>IFERROR(__xludf.DUMMYFUNCTION("""COMPUTED_VALUE"""),"None")</f>
        <v>None</v>
      </c>
      <c r="G1372" s="7" t="str">
        <f>IFERROR(__xludf.DUMMYFUNCTION("""COMPUTED_VALUE"""),"No salary data")</f>
        <v>No salary data</v>
      </c>
      <c r="H1372" s="7" t="str">
        <f>IFERROR(__xludf.DUMMYFUNCTION("""COMPUTED_VALUE"""),"No salary data")</f>
        <v>No salary data</v>
      </c>
      <c r="I1372" s="7" t="str">
        <f>IFERROR(__xludf.DUMMYFUNCTION("""COMPUTED_VALUE"""),"No salary data")</f>
        <v>No salary data</v>
      </c>
      <c r="J1372" s="7" t="str">
        <f>IFERROR(__xludf.DUMMYFUNCTION("""COMPUTED_VALUE"""),"SQL, Agile, Scrum")</f>
        <v>SQL, Agile, Scrum</v>
      </c>
      <c r="K1372" s="7" t="str">
        <f>IFERROR(__xludf.DUMMYFUNCTION("""COMPUTED_VALUE"""),"No job type data")</f>
        <v>No job type data</v>
      </c>
      <c r="L1372" s="7" t="str">
        <f>IFERROR(__xludf.DUMMYFUNCTION("""COMPUTED_VALUE"""),"None")</f>
        <v>None</v>
      </c>
      <c r="M1372" s="7"/>
      <c r="N1372" s="7"/>
      <c r="O1372" s="7"/>
    </row>
    <row r="1373">
      <c r="A1373" s="29">
        <f>IFERROR(__xludf.DUMMYFUNCTION("""COMPUTED_VALUE"""),1369.0)</f>
        <v>1369</v>
      </c>
      <c r="B1373" s="7" t="str">
        <f>IFERROR(__xludf.DUMMYFUNCTION("""COMPUTED_VALUE"""),"Vor mehr als 30 Tagen")</f>
        <v>Vor mehr als 30 Tagen</v>
      </c>
      <c r="C1373" s="7" t="str">
        <f>IFERROR(__xludf.DUMMYFUNCTION("""COMPUTED_VALUE"""),"(Junior/Senior) SQL-Entwickler/ -Programmierer/ -Developer (...")</f>
        <v>(Junior/Senior) SQL-Entwickler/ -Programmierer/ -Developer (...</v>
      </c>
      <c r="D1373" s="7" t="str">
        <f>IFERROR(__xludf.DUMMYFUNCTION("""COMPUTED_VALUE"""),"Waldems")</f>
        <v>Waldems</v>
      </c>
      <c r="E1373" s="7" t="str">
        <f>IFERROR(__xludf.DUMMYFUNCTION("""COMPUTED_VALUE"""),"INSIGHT Health GmbH &amp; Co. KG")</f>
        <v>INSIGHT Health GmbH &amp; Co. KG</v>
      </c>
      <c r="F1373" s="7" t="str">
        <f>IFERROR(__xludf.DUMMYFUNCTION("""COMPUTED_VALUE"""),"None")</f>
        <v>None</v>
      </c>
      <c r="G1373" s="7" t="str">
        <f>IFERROR(__xludf.DUMMYFUNCTION("""COMPUTED_VALUE"""),"No salary data")</f>
        <v>No salary data</v>
      </c>
      <c r="H1373" s="7" t="str">
        <f>IFERROR(__xludf.DUMMYFUNCTION("""COMPUTED_VALUE"""),"No salary data")</f>
        <v>No salary data</v>
      </c>
      <c r="I1373" s="7" t="str">
        <f>IFERROR(__xludf.DUMMYFUNCTION("""COMPUTED_VALUE"""),"No salary data")</f>
        <v>No salary data</v>
      </c>
      <c r="J1373" s="7" t="str">
        <f>IFERROR(__xludf.DUMMYFUNCTION("""COMPUTED_VALUE"""),"SQL")</f>
        <v>SQL</v>
      </c>
      <c r="K1373" s="7" t="str">
        <f>IFERROR(__xludf.DUMMYFUNCTION("""COMPUTED_VALUE"""),"No job type data")</f>
        <v>No job type data</v>
      </c>
      <c r="L1373" s="7" t="str">
        <f>IFERROR(__xludf.DUMMYFUNCTION("""COMPUTED_VALUE"""),"None")</f>
        <v>None</v>
      </c>
      <c r="M1373" s="7"/>
      <c r="N1373" s="7"/>
      <c r="O1373" s="7"/>
    </row>
    <row r="1374">
      <c r="A1374" s="29">
        <f>IFERROR(__xludf.DUMMYFUNCTION("""COMPUTED_VALUE"""),1370.0)</f>
        <v>1370</v>
      </c>
      <c r="B1374" s="7" t="str">
        <f>IFERROR(__xludf.DUMMYFUNCTION("""COMPUTED_VALUE"""),"Heute")</f>
        <v>Heute</v>
      </c>
      <c r="C1374" s="7" t="str">
        <f>IFERROR(__xludf.DUMMYFUNCTION("""COMPUTED_VALUE"""),"Für Freelancer: Interim IT Projekt Manager - Application Man...")</f>
        <v>Für Freelancer: Interim IT Projekt Manager - Application Man...</v>
      </c>
      <c r="D1374" s="7" t="str">
        <f>IFERROR(__xludf.DUMMYFUNCTION("""COMPUTED_VALUE"""),"Köln")</f>
        <v>Köln</v>
      </c>
      <c r="E1374" s="7" t="str">
        <f>IFERROR(__xludf.DUMMYFUNCTION("""COMPUTED_VALUE"""),"None")</f>
        <v>None</v>
      </c>
      <c r="F1374" s="7" t="str">
        <f>IFERROR(__xludf.DUMMYFUNCTION("""COMPUTED_VALUE"""),"None")</f>
        <v>None</v>
      </c>
      <c r="G1374" s="7" t="str">
        <f>IFERROR(__xludf.DUMMYFUNCTION("""COMPUTED_VALUE"""),"No salary data")</f>
        <v>No salary data</v>
      </c>
      <c r="H1374" s="7" t="str">
        <f>IFERROR(__xludf.DUMMYFUNCTION("""COMPUTED_VALUE"""),"No salary data")</f>
        <v>No salary data</v>
      </c>
      <c r="I1374" s="7" t="str">
        <f>IFERROR(__xludf.DUMMYFUNCTION("""COMPUTED_VALUE"""),"No salary data")</f>
        <v>No salary data</v>
      </c>
      <c r="J1374" s="7" t="str">
        <f>IFERROR(__xludf.DUMMYFUNCTION("""COMPUTED_VALUE"""),"SQL")</f>
        <v>SQL</v>
      </c>
      <c r="K1374" s="7" t="str">
        <f>IFERROR(__xludf.DUMMYFUNCTION("""COMPUTED_VALUE"""),"No job type data")</f>
        <v>No job type data</v>
      </c>
      <c r="L1374" s="7" t="str">
        <f>IFERROR(__xludf.DUMMYFUNCTION("""COMPUTED_VALUE"""),"None")</f>
        <v>None</v>
      </c>
      <c r="M1374" s="7"/>
      <c r="N1374" s="7"/>
      <c r="O1374" s="7"/>
    </row>
    <row r="1375">
      <c r="A1375" s="29">
        <f>IFERROR(__xludf.DUMMYFUNCTION("""COMPUTED_VALUE"""),1371.0)</f>
        <v>1371</v>
      </c>
      <c r="B1375" s="7" t="str">
        <f>IFERROR(__xludf.DUMMYFUNCTION("""COMPUTED_VALUE"""),"vor 18 Tagen")</f>
        <v>vor 18 Tagen</v>
      </c>
      <c r="C1375" s="7" t="str">
        <f>IFERROR(__xludf.DUMMYFUNCTION("""COMPUTED_VALUE"""),"Data Center Technician")</f>
        <v>Data Center Technician</v>
      </c>
      <c r="D1375" s="7" t="str">
        <f>IFERROR(__xludf.DUMMYFUNCTION("""COMPUTED_VALUE"""),"Deutschland")</f>
        <v>Deutschland</v>
      </c>
      <c r="E1375" s="7" t="str">
        <f>IFERROR(__xludf.DUMMYFUNCTION("""COMPUTED_VALUE"""),"Amazon Web Services (AWS)")</f>
        <v>Amazon Web Services (AWS)</v>
      </c>
      <c r="F1375" s="7" t="str">
        <f>IFERROR(__xludf.DUMMYFUNCTION("""COMPUTED_VALUE"""),"None")</f>
        <v>None</v>
      </c>
      <c r="G1375" s="7" t="str">
        <f>IFERROR(__xludf.DUMMYFUNCTION("""COMPUTED_VALUE"""),"No salary data")</f>
        <v>No salary data</v>
      </c>
      <c r="H1375" s="7" t="str">
        <f>IFERROR(__xludf.DUMMYFUNCTION("""COMPUTED_VALUE"""),"No salary data")</f>
        <v>No salary data</v>
      </c>
      <c r="I1375" s="7" t="str">
        <f>IFERROR(__xludf.DUMMYFUNCTION("""COMPUTED_VALUE"""),"No salary data")</f>
        <v>No salary data</v>
      </c>
      <c r="J1375" s="7" t="str">
        <f>IFERROR(__xludf.DUMMYFUNCTION("""COMPUTED_VALUE"""),"Python, Linux")</f>
        <v>Python, Linux</v>
      </c>
      <c r="K1375" s="7" t="str">
        <f>IFERROR(__xludf.DUMMYFUNCTION("""COMPUTED_VALUE"""),"No job type data")</f>
        <v>No job type data</v>
      </c>
      <c r="L1375" s="7" t="str">
        <f>IFERROR(__xludf.DUMMYFUNCTION("""COMPUTED_VALUE"""),"3,6")</f>
        <v>3,6</v>
      </c>
      <c r="M1375" s="7"/>
      <c r="N1375" s="7"/>
      <c r="O1375" s="7"/>
    </row>
    <row r="1376">
      <c r="A1376" s="29">
        <f>IFERROR(__xludf.DUMMYFUNCTION("""COMPUTED_VALUE"""),1372.0)</f>
        <v>1372</v>
      </c>
      <c r="B1376" s="7" t="str">
        <f>IFERROR(__xludf.DUMMYFUNCTION("""COMPUTED_VALUE"""),"vor 17 Tagen")</f>
        <v>vor 17 Tagen</v>
      </c>
      <c r="C1376" s="7" t="str">
        <f>IFERROR(__xludf.DUMMYFUNCTION("""COMPUTED_VALUE"""),"Für Freelancer: DWH (Senior) Consultant mit Data Vault Erfah...")</f>
        <v>Für Freelancer: DWH (Senior) Consultant mit Data Vault Erfah...</v>
      </c>
      <c r="D1376" s="7" t="str">
        <f>IFERROR(__xludf.DUMMYFUNCTION("""COMPUTED_VALUE"""),"München")</f>
        <v>München</v>
      </c>
      <c r="E1376" s="7" t="str">
        <f>IFERROR(__xludf.DUMMYFUNCTION("""COMPUTED_VALUE"""),"None")</f>
        <v>None</v>
      </c>
      <c r="F1376" s="7" t="str">
        <f>IFERROR(__xludf.DUMMYFUNCTION("""COMPUTED_VALUE"""),"None")</f>
        <v>None</v>
      </c>
      <c r="G1376" s="7" t="str">
        <f>IFERROR(__xludf.DUMMYFUNCTION("""COMPUTED_VALUE"""),"No salary data")</f>
        <v>No salary data</v>
      </c>
      <c r="H1376" s="7" t="str">
        <f>IFERROR(__xludf.DUMMYFUNCTION("""COMPUTED_VALUE"""),"No salary data")</f>
        <v>No salary data</v>
      </c>
      <c r="I1376" s="7" t="str">
        <f>IFERROR(__xludf.DUMMYFUNCTION("""COMPUTED_VALUE"""),"No salary data")</f>
        <v>No salary data</v>
      </c>
      <c r="J1376" s="7"/>
      <c r="K1376" s="7" t="str">
        <f>IFERROR(__xludf.DUMMYFUNCTION("""COMPUTED_VALUE"""),"No job type data")</f>
        <v>No job type data</v>
      </c>
      <c r="L1376" s="7" t="str">
        <f>IFERROR(__xludf.DUMMYFUNCTION("""COMPUTED_VALUE"""),"None")</f>
        <v>None</v>
      </c>
      <c r="M1376" s="7"/>
      <c r="N1376" s="7"/>
      <c r="O1376" s="7"/>
    </row>
    <row r="1377">
      <c r="A1377" s="29">
        <f>IFERROR(__xludf.DUMMYFUNCTION("""COMPUTED_VALUE"""),1373.0)</f>
        <v>1373</v>
      </c>
      <c r="B1377" s="7" t="str">
        <f>IFERROR(__xludf.DUMMYFUNCTION("""COMPUTED_VALUE"""),"vor 12 Tagen")</f>
        <v>vor 12 Tagen</v>
      </c>
      <c r="C1377" s="7" t="str">
        <f>IFERROR(__xludf.DUMMYFUNCTION("""COMPUTED_VALUE"""),"Für Freelancer: Drupal-Spezialisten (m/w/d)")</f>
        <v>Für Freelancer: Drupal-Spezialisten (m/w/d)</v>
      </c>
      <c r="D1377" s="7" t="str">
        <f>IFERROR(__xludf.DUMMYFUNCTION("""COMPUTED_VALUE"""),"Berlin")</f>
        <v>Berlin</v>
      </c>
      <c r="E1377" s="7" t="str">
        <f>IFERROR(__xludf.DUMMYFUNCTION("""COMPUTED_VALUE"""),"None")</f>
        <v>None</v>
      </c>
      <c r="F1377" s="7" t="str">
        <f>IFERROR(__xludf.DUMMYFUNCTION("""COMPUTED_VALUE"""),"None")</f>
        <v>None</v>
      </c>
      <c r="G1377" s="7" t="str">
        <f>IFERROR(__xludf.DUMMYFUNCTION("""COMPUTED_VALUE"""),"No salary data")</f>
        <v>No salary data</v>
      </c>
      <c r="H1377" s="7" t="str">
        <f>IFERROR(__xludf.DUMMYFUNCTION("""COMPUTED_VALUE"""),"No salary data")</f>
        <v>No salary data</v>
      </c>
      <c r="I1377" s="7" t="str">
        <f>IFERROR(__xludf.DUMMYFUNCTION("""COMPUTED_VALUE"""),"No salary data")</f>
        <v>No salary data</v>
      </c>
      <c r="J1377" s="7" t="str">
        <f>IFERROR(__xludf.DUMMYFUNCTION("""COMPUTED_VALUE"""),"Excel, Agile, Scrum")</f>
        <v>Excel, Agile, Scrum</v>
      </c>
      <c r="K1377" s="7" t="str">
        <f>IFERROR(__xludf.DUMMYFUNCTION("""COMPUTED_VALUE"""),"No job type data")</f>
        <v>No job type data</v>
      </c>
      <c r="L1377" s="7" t="str">
        <f>IFERROR(__xludf.DUMMYFUNCTION("""COMPUTED_VALUE"""),"None")</f>
        <v>None</v>
      </c>
      <c r="M1377" s="7"/>
      <c r="N1377" s="7"/>
      <c r="O1377" s="7"/>
    </row>
    <row r="1378">
      <c r="A1378" s="29">
        <f>IFERROR(__xludf.DUMMYFUNCTION("""COMPUTED_VALUE"""),1374.0)</f>
        <v>1374</v>
      </c>
      <c r="B1378" s="7" t="str">
        <f>IFERROR(__xludf.DUMMYFUNCTION("""COMPUTED_VALUE"""),"vor 19 Tagen")</f>
        <v>vor 19 Tagen</v>
      </c>
      <c r="C1378" s="7" t="str">
        <f>IFERROR(__xludf.DUMMYFUNCTION("""COMPUTED_VALUE"""),"Für Freelancer: IBM DataStage Specialist - 100% Remote work...")</f>
        <v>Für Freelancer: IBM DataStage Specialist - 100% Remote work...</v>
      </c>
      <c r="D1378" s="7" t="str">
        <f>IFERROR(__xludf.DUMMYFUNCTION("""COMPUTED_VALUE"""),"Frankfurt am Main")</f>
        <v>Frankfurt am Main</v>
      </c>
      <c r="E1378" s="7" t="str">
        <f>IFERROR(__xludf.DUMMYFUNCTION("""COMPUTED_VALUE"""),"None")</f>
        <v>None</v>
      </c>
      <c r="F1378" s="7" t="str">
        <f>IFERROR(__xludf.DUMMYFUNCTION("""COMPUTED_VALUE"""),"None")</f>
        <v>None</v>
      </c>
      <c r="G1378" s="7" t="str">
        <f>IFERROR(__xludf.DUMMYFUNCTION("""COMPUTED_VALUE"""),"No salary data")</f>
        <v>No salary data</v>
      </c>
      <c r="H1378" s="7" t="str">
        <f>IFERROR(__xludf.DUMMYFUNCTION("""COMPUTED_VALUE"""),"No salary data")</f>
        <v>No salary data</v>
      </c>
      <c r="I1378" s="7" t="str">
        <f>IFERROR(__xludf.DUMMYFUNCTION("""COMPUTED_VALUE"""),"No salary data")</f>
        <v>No salary data</v>
      </c>
      <c r="J1378" s="7"/>
      <c r="K1378" s="7" t="str">
        <f>IFERROR(__xludf.DUMMYFUNCTION("""COMPUTED_VALUE"""),"No job type data")</f>
        <v>No job type data</v>
      </c>
      <c r="L1378" s="7" t="str">
        <f>IFERROR(__xludf.DUMMYFUNCTION("""COMPUTED_VALUE"""),"None")</f>
        <v>None</v>
      </c>
      <c r="M1378" s="7"/>
      <c r="N1378" s="7"/>
      <c r="O1378" s="7"/>
    </row>
    <row r="1379">
      <c r="A1379" s="29">
        <f>IFERROR(__xludf.DUMMYFUNCTION("""COMPUTED_VALUE"""),1375.0)</f>
        <v>1375</v>
      </c>
      <c r="B1379" s="7" t="str">
        <f>IFERROR(__xludf.DUMMYFUNCTION("""COMPUTED_VALUE"""),"vor 4 Tagen")</f>
        <v>vor 4 Tagen</v>
      </c>
      <c r="C1379" s="7" t="str">
        <f>IFERROR(__xludf.DUMMYFUNCTION("""COMPUTED_VALUE"""),"Für Freelancer: Business Analyst (m/w/d)")</f>
        <v>Für Freelancer: Business Analyst (m/w/d)</v>
      </c>
      <c r="D1379" s="7" t="str">
        <f>IFERROR(__xludf.DUMMYFUNCTION("""COMPUTED_VALUE"""),"Ludwigsburg")</f>
        <v>Ludwigsburg</v>
      </c>
      <c r="E1379" s="7" t="str">
        <f>IFERROR(__xludf.DUMMYFUNCTION("""COMPUTED_VALUE"""),"None")</f>
        <v>None</v>
      </c>
      <c r="F1379" s="7" t="str">
        <f>IFERROR(__xludf.DUMMYFUNCTION("""COMPUTED_VALUE"""),"None")</f>
        <v>None</v>
      </c>
      <c r="G1379" s="7" t="str">
        <f>IFERROR(__xludf.DUMMYFUNCTION("""COMPUTED_VALUE"""),"No salary data")</f>
        <v>No salary data</v>
      </c>
      <c r="H1379" s="7" t="str">
        <f>IFERROR(__xludf.DUMMYFUNCTION("""COMPUTED_VALUE"""),"No salary data")</f>
        <v>No salary data</v>
      </c>
      <c r="I1379" s="7" t="str">
        <f>IFERROR(__xludf.DUMMYFUNCTION("""COMPUTED_VALUE"""),"No salary data")</f>
        <v>No salary data</v>
      </c>
      <c r="J1379" s="7"/>
      <c r="K1379" s="7" t="str">
        <f>IFERROR(__xludf.DUMMYFUNCTION("""COMPUTED_VALUE"""),"No job type data")</f>
        <v>No job type data</v>
      </c>
      <c r="L1379" s="7" t="str">
        <f>IFERROR(__xludf.DUMMYFUNCTION("""COMPUTED_VALUE"""),"None")</f>
        <v>None</v>
      </c>
      <c r="M1379" s="7"/>
      <c r="N1379" s="7"/>
      <c r="O1379" s="7"/>
    </row>
    <row r="1380">
      <c r="A1380" s="29">
        <f>IFERROR(__xludf.DUMMYFUNCTION("""COMPUTED_VALUE"""),1376.0)</f>
        <v>1376</v>
      </c>
      <c r="B1380" s="7" t="str">
        <f>IFERROR(__xludf.DUMMYFUNCTION("""COMPUTED_VALUE"""),"vor 14 Tagen")</f>
        <v>vor 14 Tagen</v>
      </c>
      <c r="C1380" s="7" t="str">
        <f>IFERROR(__xludf.DUMMYFUNCTION("""COMPUTED_VALUE"""),"Für Freelancer: Fullstack Frontend Entwickler (m/w/d)")</f>
        <v>Für Freelancer: Fullstack Frontend Entwickler (m/w/d)</v>
      </c>
      <c r="D1380" s="7" t="str">
        <f>IFERROR(__xludf.DUMMYFUNCTION("""COMPUTED_VALUE"""),"Dortmund")</f>
        <v>Dortmund</v>
      </c>
      <c r="E1380" s="7" t="str">
        <f>IFERROR(__xludf.DUMMYFUNCTION("""COMPUTED_VALUE"""),"None")</f>
        <v>None</v>
      </c>
      <c r="F1380" s="7" t="str">
        <f>IFERROR(__xludf.DUMMYFUNCTION("""COMPUTED_VALUE"""),"None")</f>
        <v>None</v>
      </c>
      <c r="G1380" s="7" t="str">
        <f>IFERROR(__xludf.DUMMYFUNCTION("""COMPUTED_VALUE"""),"No salary data")</f>
        <v>No salary data</v>
      </c>
      <c r="H1380" s="7" t="str">
        <f>IFERROR(__xludf.DUMMYFUNCTION("""COMPUTED_VALUE"""),"No salary data")</f>
        <v>No salary data</v>
      </c>
      <c r="I1380" s="7" t="str">
        <f>IFERROR(__xludf.DUMMYFUNCTION("""COMPUTED_VALUE"""),"No salary data")</f>
        <v>No salary data</v>
      </c>
      <c r="J1380" s="7" t="str">
        <f>IFERROR(__xludf.DUMMYFUNCTION("""COMPUTED_VALUE"""),"Python, Git")</f>
        <v>Python, Git</v>
      </c>
      <c r="K1380" s="7" t="str">
        <f>IFERROR(__xludf.DUMMYFUNCTION("""COMPUTED_VALUE"""),"No job type data")</f>
        <v>No job type data</v>
      </c>
      <c r="L1380" s="7" t="str">
        <f>IFERROR(__xludf.DUMMYFUNCTION("""COMPUTED_VALUE"""),"None")</f>
        <v>None</v>
      </c>
      <c r="M1380" s="7"/>
      <c r="N1380" s="7"/>
      <c r="O1380" s="7"/>
    </row>
    <row r="1381">
      <c r="A1381" s="29">
        <f>IFERROR(__xludf.DUMMYFUNCTION("""COMPUTED_VALUE"""),1377.0)</f>
        <v>1377</v>
      </c>
      <c r="B1381" s="7" t="str">
        <f>IFERROR(__xludf.DUMMYFUNCTION("""COMPUTED_VALUE"""),"vor 19 Tagen")</f>
        <v>vor 19 Tagen</v>
      </c>
      <c r="C1381" s="7" t="str">
        <f>IFERROR(__xludf.DUMMYFUNCTION("""COMPUTED_VALUE"""),"Für Freelancer: Splunk/Tabelau")</f>
        <v>Für Freelancer: Splunk/Tabelau</v>
      </c>
      <c r="D1381" s="7" t="str">
        <f>IFERROR(__xludf.DUMMYFUNCTION("""COMPUTED_VALUE"""),"Frankfurt am Main")</f>
        <v>Frankfurt am Main</v>
      </c>
      <c r="E1381" s="7" t="str">
        <f>IFERROR(__xludf.DUMMYFUNCTION("""COMPUTED_VALUE"""),"None")</f>
        <v>None</v>
      </c>
      <c r="F1381" s="7" t="str">
        <f>IFERROR(__xludf.DUMMYFUNCTION("""COMPUTED_VALUE"""),"None")</f>
        <v>None</v>
      </c>
      <c r="G1381" s="7" t="str">
        <f>IFERROR(__xludf.DUMMYFUNCTION("""COMPUTED_VALUE"""),"No salary data")</f>
        <v>No salary data</v>
      </c>
      <c r="H1381" s="7" t="str">
        <f>IFERROR(__xludf.DUMMYFUNCTION("""COMPUTED_VALUE"""),"No salary data")</f>
        <v>No salary data</v>
      </c>
      <c r="I1381" s="7" t="str">
        <f>IFERROR(__xludf.DUMMYFUNCTION("""COMPUTED_VALUE"""),"No salary data")</f>
        <v>No salary data</v>
      </c>
      <c r="J1381" s="7" t="str">
        <f>IFERROR(__xludf.DUMMYFUNCTION("""COMPUTED_VALUE"""),"Tableau")</f>
        <v>Tableau</v>
      </c>
      <c r="K1381" s="7" t="str">
        <f>IFERROR(__xludf.DUMMYFUNCTION("""COMPUTED_VALUE"""),"No job type data")</f>
        <v>No job type data</v>
      </c>
      <c r="L1381" s="7" t="str">
        <f>IFERROR(__xludf.DUMMYFUNCTION("""COMPUTED_VALUE"""),"None")</f>
        <v>None</v>
      </c>
      <c r="M1381" s="7"/>
      <c r="N1381" s="7"/>
      <c r="O1381" s="7"/>
    </row>
    <row r="1382">
      <c r="A1382" s="29">
        <f>IFERROR(__xludf.DUMMYFUNCTION("""COMPUTED_VALUE"""),1378.0)</f>
        <v>1378</v>
      </c>
      <c r="B1382" s="7" t="str">
        <f>IFERROR(__xludf.DUMMYFUNCTION("""COMPUTED_VALUE"""),"vor 28 Tagen")</f>
        <v>vor 28 Tagen</v>
      </c>
      <c r="C1382" s="7" t="str">
        <f>IFERROR(__xludf.DUMMYFUNCTION("""COMPUTED_VALUE"""),"Für Freelancer: CRM Analyst gesucht")</f>
        <v>Für Freelancer: CRM Analyst gesucht</v>
      </c>
      <c r="D1382" s="7" t="str">
        <f>IFERROR(__xludf.DUMMYFUNCTION("""COMPUTED_VALUE"""),"Köln")</f>
        <v>Köln</v>
      </c>
      <c r="E1382" s="7" t="str">
        <f>IFERROR(__xludf.DUMMYFUNCTION("""COMPUTED_VALUE"""),"None")</f>
        <v>None</v>
      </c>
      <c r="F1382" s="7" t="str">
        <f>IFERROR(__xludf.DUMMYFUNCTION("""COMPUTED_VALUE"""),"None")</f>
        <v>None</v>
      </c>
      <c r="G1382" s="7" t="str">
        <f>IFERROR(__xludf.DUMMYFUNCTION("""COMPUTED_VALUE"""),"No salary data")</f>
        <v>No salary data</v>
      </c>
      <c r="H1382" s="7" t="str">
        <f>IFERROR(__xludf.DUMMYFUNCTION("""COMPUTED_VALUE"""),"No salary data")</f>
        <v>No salary data</v>
      </c>
      <c r="I1382" s="7" t="str">
        <f>IFERROR(__xludf.DUMMYFUNCTION("""COMPUTED_VALUE"""),"No salary data")</f>
        <v>No salary data</v>
      </c>
      <c r="J1382" s="7" t="str">
        <f>IFERROR(__xludf.DUMMYFUNCTION("""COMPUTED_VALUE"""),"SQL")</f>
        <v>SQL</v>
      </c>
      <c r="K1382" s="7" t="str">
        <f>IFERROR(__xludf.DUMMYFUNCTION("""COMPUTED_VALUE"""),"No job type data")</f>
        <v>No job type data</v>
      </c>
      <c r="L1382" s="7" t="str">
        <f>IFERROR(__xludf.DUMMYFUNCTION("""COMPUTED_VALUE"""),"None")</f>
        <v>None</v>
      </c>
      <c r="M1382" s="7"/>
      <c r="N1382" s="7"/>
      <c r="O1382" s="7"/>
    </row>
    <row r="1383">
      <c r="A1383" s="29">
        <f>IFERROR(__xludf.DUMMYFUNCTION("""COMPUTED_VALUE"""),1379.0)</f>
        <v>1379</v>
      </c>
      <c r="B1383" s="7" t="str">
        <f>IFERROR(__xludf.DUMMYFUNCTION("""COMPUTED_VALUE"""),"Vor mehr als 30 Tagen")</f>
        <v>Vor mehr als 30 Tagen</v>
      </c>
      <c r="C1383" s="7" t="str">
        <f>IFERROR(__xludf.DUMMYFUNCTION("""COMPUTED_VALUE"""),"Für Freelancer: Elasticsearch Experte (m/w/d)")</f>
        <v>Für Freelancer: Elasticsearch Experte (m/w/d)</v>
      </c>
      <c r="D1383" s="7" t="str">
        <f>IFERROR(__xludf.DUMMYFUNCTION("""COMPUTED_VALUE"""),"Bayern")</f>
        <v>Bayern</v>
      </c>
      <c r="E1383" s="7" t="str">
        <f>IFERROR(__xludf.DUMMYFUNCTION("""COMPUTED_VALUE"""),"None")</f>
        <v>None</v>
      </c>
      <c r="F1383" s="7" t="str">
        <f>IFERROR(__xludf.DUMMYFUNCTION("""COMPUTED_VALUE"""),"None")</f>
        <v>None</v>
      </c>
      <c r="G1383" s="7" t="str">
        <f>IFERROR(__xludf.DUMMYFUNCTION("""COMPUTED_VALUE"""),"No salary data")</f>
        <v>No salary data</v>
      </c>
      <c r="H1383" s="7" t="str">
        <f>IFERROR(__xludf.DUMMYFUNCTION("""COMPUTED_VALUE"""),"No salary data")</f>
        <v>No salary data</v>
      </c>
      <c r="I1383" s="7" t="str">
        <f>IFERROR(__xludf.DUMMYFUNCTION("""COMPUTED_VALUE"""),"No salary data")</f>
        <v>No salary data</v>
      </c>
      <c r="J1383" s="7" t="str">
        <f>IFERROR(__xludf.DUMMYFUNCTION("""COMPUTED_VALUE"""),"Python, Git, Linux")</f>
        <v>Python, Git, Linux</v>
      </c>
      <c r="K1383" s="7" t="str">
        <f>IFERROR(__xludf.DUMMYFUNCTION("""COMPUTED_VALUE"""),"No job type data")</f>
        <v>No job type data</v>
      </c>
      <c r="L1383" s="7" t="str">
        <f>IFERROR(__xludf.DUMMYFUNCTION("""COMPUTED_VALUE"""),"None")</f>
        <v>None</v>
      </c>
      <c r="M1383" s="7"/>
      <c r="N1383" s="7"/>
      <c r="O1383" s="7"/>
    </row>
    <row r="1384">
      <c r="A1384" s="29">
        <f>IFERROR(__xludf.DUMMYFUNCTION("""COMPUTED_VALUE"""),1380.0)</f>
        <v>1380</v>
      </c>
      <c r="B1384" s="7" t="str">
        <f>IFERROR(__xludf.DUMMYFUNCTION("""COMPUTED_VALUE"""),"vor 10 Tagen")</f>
        <v>vor 10 Tagen</v>
      </c>
      <c r="C1384" s="7" t="str">
        <f>IFERROR(__xludf.DUMMYFUNCTION("""COMPUTED_VALUE"""),"Für Freelancer: DWH Architekt - DB2, DataVault")</f>
        <v>Für Freelancer: DWH Architekt - DB2, DataVault</v>
      </c>
      <c r="D1384" s="7" t="str">
        <f>IFERROR(__xludf.DUMMYFUNCTION("""COMPUTED_VALUE"""),"Hamburg")</f>
        <v>Hamburg</v>
      </c>
      <c r="E1384" s="7" t="str">
        <f>IFERROR(__xludf.DUMMYFUNCTION("""COMPUTED_VALUE"""),"None")</f>
        <v>None</v>
      </c>
      <c r="F1384" s="7" t="str">
        <f>IFERROR(__xludf.DUMMYFUNCTION("""COMPUTED_VALUE"""),"None")</f>
        <v>None</v>
      </c>
      <c r="G1384" s="7" t="str">
        <f>IFERROR(__xludf.DUMMYFUNCTION("""COMPUTED_VALUE"""),"No salary data")</f>
        <v>No salary data</v>
      </c>
      <c r="H1384" s="7" t="str">
        <f>IFERROR(__xludf.DUMMYFUNCTION("""COMPUTED_VALUE"""),"No salary data")</f>
        <v>No salary data</v>
      </c>
      <c r="I1384" s="7" t="str">
        <f>IFERROR(__xludf.DUMMYFUNCTION("""COMPUTED_VALUE"""),"No salary data")</f>
        <v>No salary data</v>
      </c>
      <c r="J1384" s="7"/>
      <c r="K1384" s="7" t="str">
        <f>IFERROR(__xludf.DUMMYFUNCTION("""COMPUTED_VALUE"""),"No job type data")</f>
        <v>No job type data</v>
      </c>
      <c r="L1384" s="7" t="str">
        <f>IFERROR(__xludf.DUMMYFUNCTION("""COMPUTED_VALUE"""),"None")</f>
        <v>None</v>
      </c>
      <c r="M1384" s="7"/>
      <c r="N1384" s="7"/>
      <c r="O1384" s="7"/>
    </row>
    <row r="1385">
      <c r="A1385" s="29">
        <f>IFERROR(__xludf.DUMMYFUNCTION("""COMPUTED_VALUE"""),1381.0)</f>
        <v>1381</v>
      </c>
      <c r="B1385" s="7" t="str">
        <f>IFERROR(__xludf.DUMMYFUNCTION("""COMPUTED_VALUE"""),"vor 4 Tagen")</f>
        <v>vor 4 Tagen</v>
      </c>
      <c r="C1385" s="7" t="str">
        <f>IFERROR(__xludf.DUMMYFUNCTION("""COMPUTED_VALUE"""),"Scientific Programmer - Bioinformatics")</f>
        <v>Scientific Programmer - Bioinformatics</v>
      </c>
      <c r="D1385" s="7" t="str">
        <f>IFERROR(__xludf.DUMMYFUNCTION("""COMPUTED_VALUE"""),"Deutschland")</f>
        <v>Deutschland</v>
      </c>
      <c r="E1385" s="7" t="str">
        <f>IFERROR(__xludf.DUMMYFUNCTION("""COMPUTED_VALUE"""),"Proclinical Staffing")</f>
        <v>Proclinical Staffing</v>
      </c>
      <c r="F1385" s="7" t="str">
        <f>IFERROR(__xludf.DUMMYFUNCTION("""COMPUTED_VALUE"""),"None")</f>
        <v>None</v>
      </c>
      <c r="G1385" s="7" t="str">
        <f>IFERROR(__xludf.DUMMYFUNCTION("""COMPUTED_VALUE"""),"No salary data")</f>
        <v>No salary data</v>
      </c>
      <c r="H1385" s="7" t="str">
        <f>IFERROR(__xludf.DUMMYFUNCTION("""COMPUTED_VALUE"""),"No salary data")</f>
        <v>No salary data</v>
      </c>
      <c r="I1385" s="7" t="str">
        <f>IFERROR(__xludf.DUMMYFUNCTION("""COMPUTED_VALUE"""),"No salary data")</f>
        <v>No salary data</v>
      </c>
      <c r="J1385" s="7" t="str">
        <f>IFERROR(__xludf.DUMMYFUNCTION("""COMPUTED_VALUE"""),"Python, Excel")</f>
        <v>Python, Excel</v>
      </c>
      <c r="K1385" s="7" t="str">
        <f>IFERROR(__xludf.DUMMYFUNCTION("""COMPUTED_VALUE"""),"No job type data")</f>
        <v>No job type data</v>
      </c>
      <c r="L1385" s="7" t="str">
        <f>IFERROR(__xludf.DUMMYFUNCTION("""COMPUTED_VALUE"""),"None")</f>
        <v>None</v>
      </c>
      <c r="M1385" s="7"/>
      <c r="N1385" s="7"/>
      <c r="O1385" s="7"/>
    </row>
    <row r="1386">
      <c r="A1386" s="29">
        <f>IFERROR(__xludf.DUMMYFUNCTION("""COMPUTED_VALUE"""),1382.0)</f>
        <v>1382</v>
      </c>
      <c r="B1386" s="7" t="str">
        <f>IFERROR(__xludf.DUMMYFUNCTION("""COMPUTED_VALUE"""),"Vor mehr als 30 Tagen")</f>
        <v>Vor mehr als 30 Tagen</v>
      </c>
      <c r="C1386" s="7" t="str">
        <f>IFERROR(__xludf.DUMMYFUNCTION("""COMPUTED_VALUE"""),"Für Freelancer: Power Apps Entwickler")</f>
        <v>Für Freelancer: Power Apps Entwickler</v>
      </c>
      <c r="D1386" s="7" t="str">
        <f>IFERROR(__xludf.DUMMYFUNCTION("""COMPUTED_VALUE"""),"Stuttgart")</f>
        <v>Stuttgart</v>
      </c>
      <c r="E1386" s="7" t="str">
        <f>IFERROR(__xludf.DUMMYFUNCTION("""COMPUTED_VALUE"""),"None")</f>
        <v>None</v>
      </c>
      <c r="F1386" s="7" t="str">
        <f>IFERROR(__xludf.DUMMYFUNCTION("""COMPUTED_VALUE"""),"None")</f>
        <v>None</v>
      </c>
      <c r="G1386" s="7" t="str">
        <f>IFERROR(__xludf.DUMMYFUNCTION("""COMPUTED_VALUE"""),"No salary data")</f>
        <v>No salary data</v>
      </c>
      <c r="H1386" s="7" t="str">
        <f>IFERROR(__xludf.DUMMYFUNCTION("""COMPUTED_VALUE"""),"No salary data")</f>
        <v>No salary data</v>
      </c>
      <c r="I1386" s="7" t="str">
        <f>IFERROR(__xludf.DUMMYFUNCTION("""COMPUTED_VALUE"""),"No salary data")</f>
        <v>No salary data</v>
      </c>
      <c r="J1386" s="7"/>
      <c r="K1386" s="7" t="str">
        <f>IFERROR(__xludf.DUMMYFUNCTION("""COMPUTED_VALUE"""),"No job type data")</f>
        <v>No job type data</v>
      </c>
      <c r="L1386" s="7" t="str">
        <f>IFERROR(__xludf.DUMMYFUNCTION("""COMPUTED_VALUE"""),"None")</f>
        <v>None</v>
      </c>
      <c r="M1386" s="7"/>
      <c r="N1386" s="7"/>
      <c r="O1386" s="7"/>
    </row>
    <row r="1387">
      <c r="A1387" s="29">
        <f>IFERROR(__xludf.DUMMYFUNCTION("""COMPUTED_VALUE"""),1383.0)</f>
        <v>1383</v>
      </c>
      <c r="B1387" s="7" t="str">
        <f>IFERROR(__xludf.DUMMYFUNCTION("""COMPUTED_VALUE"""),"Vor mehr als 30 Tagen")</f>
        <v>Vor mehr als 30 Tagen</v>
      </c>
      <c r="C1387" s="7" t="str">
        <f>IFERROR(__xludf.DUMMYFUNCTION("""COMPUTED_VALUE"""),"Für Freelancer: Berlin: Java Entwickler gesucht")</f>
        <v>Für Freelancer: Berlin: Java Entwickler gesucht</v>
      </c>
      <c r="D1387" s="7" t="str">
        <f>IFERROR(__xludf.DUMMYFUNCTION("""COMPUTED_VALUE"""),"Berlin-Mitte")</f>
        <v>Berlin-Mitte</v>
      </c>
      <c r="E1387" s="7" t="str">
        <f>IFERROR(__xludf.DUMMYFUNCTION("""COMPUTED_VALUE"""),"None")</f>
        <v>None</v>
      </c>
      <c r="F1387" s="7" t="str">
        <f>IFERROR(__xludf.DUMMYFUNCTION("""COMPUTED_VALUE"""),"None")</f>
        <v>None</v>
      </c>
      <c r="G1387" s="7" t="str">
        <f>IFERROR(__xludf.DUMMYFUNCTION("""COMPUTED_VALUE"""),"No salary data")</f>
        <v>No salary data</v>
      </c>
      <c r="H1387" s="7" t="str">
        <f>IFERROR(__xludf.DUMMYFUNCTION("""COMPUTED_VALUE"""),"No salary data")</f>
        <v>No salary data</v>
      </c>
      <c r="I1387" s="7" t="str">
        <f>IFERROR(__xludf.DUMMYFUNCTION("""COMPUTED_VALUE"""),"No salary data")</f>
        <v>No salary data</v>
      </c>
      <c r="J1387" s="7" t="str">
        <f>IFERROR(__xludf.DUMMYFUNCTION("""COMPUTED_VALUE"""),"Scrum")</f>
        <v>Scrum</v>
      </c>
      <c r="K1387" s="7" t="str">
        <f>IFERROR(__xludf.DUMMYFUNCTION("""COMPUTED_VALUE"""),"No job type data")</f>
        <v>No job type data</v>
      </c>
      <c r="L1387" s="7" t="str">
        <f>IFERROR(__xludf.DUMMYFUNCTION("""COMPUTED_VALUE"""),"None")</f>
        <v>None</v>
      </c>
      <c r="M1387" s="7"/>
      <c r="N1387" s="7"/>
      <c r="O1387" s="7"/>
    </row>
    <row r="1388">
      <c r="A1388" s="29">
        <f>IFERROR(__xludf.DUMMYFUNCTION("""COMPUTED_VALUE"""),1384.0)</f>
        <v>1384</v>
      </c>
      <c r="B1388" s="7" t="str">
        <f>IFERROR(__xludf.DUMMYFUNCTION("""COMPUTED_VALUE"""),"vor 12 Tagen")</f>
        <v>vor 12 Tagen</v>
      </c>
      <c r="C1388" s="7" t="str">
        <f>IFERROR(__xludf.DUMMYFUNCTION("""COMPUTED_VALUE"""),"Für Freelancer: Solution Architekt SAP BI w/m/d")</f>
        <v>Für Freelancer: Solution Architekt SAP BI w/m/d</v>
      </c>
      <c r="D1388" s="7" t="str">
        <f>IFERROR(__xludf.DUMMYFUNCTION("""COMPUTED_VALUE"""),"Hamburg")</f>
        <v>Hamburg</v>
      </c>
      <c r="E1388" s="7" t="str">
        <f>IFERROR(__xludf.DUMMYFUNCTION("""COMPUTED_VALUE"""),"None")</f>
        <v>None</v>
      </c>
      <c r="F1388" s="7" t="str">
        <f>IFERROR(__xludf.DUMMYFUNCTION("""COMPUTED_VALUE"""),"None")</f>
        <v>None</v>
      </c>
      <c r="G1388" s="7" t="str">
        <f>IFERROR(__xludf.DUMMYFUNCTION("""COMPUTED_VALUE"""),"No salary data")</f>
        <v>No salary data</v>
      </c>
      <c r="H1388" s="7" t="str">
        <f>IFERROR(__xludf.DUMMYFUNCTION("""COMPUTED_VALUE"""),"No salary data")</f>
        <v>No salary data</v>
      </c>
      <c r="I1388" s="7" t="str">
        <f>IFERROR(__xludf.DUMMYFUNCTION("""COMPUTED_VALUE"""),"No salary data")</f>
        <v>No salary data</v>
      </c>
      <c r="J1388" s="7" t="str">
        <f>IFERROR(__xludf.DUMMYFUNCTION("""COMPUTED_VALUE"""),"SQL")</f>
        <v>SQL</v>
      </c>
      <c r="K1388" s="7" t="str">
        <f>IFERROR(__xludf.DUMMYFUNCTION("""COMPUTED_VALUE"""),"No job type data")</f>
        <v>No job type data</v>
      </c>
      <c r="L1388" s="7" t="str">
        <f>IFERROR(__xludf.DUMMYFUNCTION("""COMPUTED_VALUE"""),"None")</f>
        <v>None</v>
      </c>
      <c r="M1388" s="7"/>
      <c r="N1388" s="7"/>
      <c r="O1388" s="7"/>
    </row>
    <row r="1389">
      <c r="A1389" s="29">
        <f>IFERROR(__xludf.DUMMYFUNCTION("""COMPUTED_VALUE"""),1385.0)</f>
        <v>1385</v>
      </c>
      <c r="B1389" s="7" t="str">
        <f>IFERROR(__xludf.DUMMYFUNCTION("""COMPUTED_VALUE"""),"Vor mehr als 30 Tagen")</f>
        <v>Vor mehr als 30 Tagen</v>
      </c>
      <c r="C1389" s="7" t="str">
        <f>IFERROR(__xludf.DUMMYFUNCTION("""COMPUTED_VALUE"""),"Junior IT-Architekt für DWH-Anwendungen (m/w/d)")</f>
        <v>Junior IT-Architekt für DWH-Anwendungen (m/w/d)</v>
      </c>
      <c r="D1389" s="7" t="str">
        <f>IFERROR(__xludf.DUMMYFUNCTION("""COMPUTED_VALUE"""),"Gotha")</f>
        <v>Gotha</v>
      </c>
      <c r="E1389" s="7" t="str">
        <f>IFERROR(__xludf.DUMMYFUNCTION("""COMPUTED_VALUE"""),"Finanz-DATA GmbH")</f>
        <v>Finanz-DATA GmbH</v>
      </c>
      <c r="F1389" s="7" t="str">
        <f>IFERROR(__xludf.DUMMYFUNCTION("""COMPUTED_VALUE"""),"None")</f>
        <v>None</v>
      </c>
      <c r="G1389" s="7" t="str">
        <f>IFERROR(__xludf.DUMMYFUNCTION("""COMPUTED_VALUE"""),"No salary data")</f>
        <v>No salary data</v>
      </c>
      <c r="H1389" s="7" t="str">
        <f>IFERROR(__xludf.DUMMYFUNCTION("""COMPUTED_VALUE"""),"No salary data")</f>
        <v>No salary data</v>
      </c>
      <c r="I1389" s="7" t="str">
        <f>IFERROR(__xludf.DUMMYFUNCTION("""COMPUTED_VALUE"""),"No salary data")</f>
        <v>No salary data</v>
      </c>
      <c r="J1389" s="7" t="str">
        <f>IFERROR(__xludf.DUMMYFUNCTION("""COMPUTED_VALUE"""),"SQL, Git, Agile")</f>
        <v>SQL, Git, Agile</v>
      </c>
      <c r="K1389" s="7" t="str">
        <f>IFERROR(__xludf.DUMMYFUNCTION("""COMPUTED_VALUE"""),"No job type data")</f>
        <v>No job type data</v>
      </c>
      <c r="L1389" s="7" t="str">
        <f>IFERROR(__xludf.DUMMYFUNCTION("""COMPUTED_VALUE"""),"None")</f>
        <v>None</v>
      </c>
      <c r="M1389" s="7"/>
      <c r="N1389" s="7"/>
      <c r="O1389" s="7"/>
    </row>
    <row r="1390">
      <c r="A1390" s="29">
        <f>IFERROR(__xludf.DUMMYFUNCTION("""COMPUTED_VALUE"""),1386.0)</f>
        <v>1386</v>
      </c>
      <c r="B1390" s="7" t="str">
        <f>IFERROR(__xludf.DUMMYFUNCTION("""COMPUTED_VALUE"""),"Vor mehr als 30 Tagen")</f>
        <v>Vor mehr als 30 Tagen</v>
      </c>
      <c r="C1390" s="7" t="str">
        <f>IFERROR(__xludf.DUMMYFUNCTION("""COMPUTED_VALUE"""),"Für Freelancer: SAP Data Migration Consultant / SAP-Datenmig...")</f>
        <v>Für Freelancer: SAP Data Migration Consultant / SAP-Datenmig...</v>
      </c>
      <c r="D1390" s="7" t="str">
        <f>IFERROR(__xludf.DUMMYFUNCTION("""COMPUTED_VALUE"""),"Hannover")</f>
        <v>Hannover</v>
      </c>
      <c r="E1390" s="7" t="str">
        <f>IFERROR(__xludf.DUMMYFUNCTION("""COMPUTED_VALUE"""),"None")</f>
        <v>None</v>
      </c>
      <c r="F1390" s="7" t="str">
        <f>IFERROR(__xludf.DUMMYFUNCTION("""COMPUTED_VALUE"""),"None")</f>
        <v>None</v>
      </c>
      <c r="G1390" s="7" t="str">
        <f>IFERROR(__xludf.DUMMYFUNCTION("""COMPUTED_VALUE"""),"No salary data")</f>
        <v>No salary data</v>
      </c>
      <c r="H1390" s="7" t="str">
        <f>IFERROR(__xludf.DUMMYFUNCTION("""COMPUTED_VALUE"""),"No salary data")</f>
        <v>No salary data</v>
      </c>
      <c r="I1390" s="7" t="str">
        <f>IFERROR(__xludf.DUMMYFUNCTION("""COMPUTED_VALUE"""),"No salary data")</f>
        <v>No salary data</v>
      </c>
      <c r="J1390" s="7"/>
      <c r="K1390" s="7" t="str">
        <f>IFERROR(__xludf.DUMMYFUNCTION("""COMPUTED_VALUE"""),"No job type data")</f>
        <v>No job type data</v>
      </c>
      <c r="L1390" s="7" t="str">
        <f>IFERROR(__xludf.DUMMYFUNCTION("""COMPUTED_VALUE"""),"None")</f>
        <v>None</v>
      </c>
      <c r="M1390" s="7"/>
      <c r="N1390" s="7"/>
      <c r="O1390" s="7"/>
    </row>
    <row r="1391">
      <c r="A1391" s="29">
        <f>IFERROR(__xludf.DUMMYFUNCTION("""COMPUTED_VALUE"""),1387.0)</f>
        <v>1387</v>
      </c>
      <c r="B1391" s="7" t="str">
        <f>IFERROR(__xludf.DUMMYFUNCTION("""COMPUTED_VALUE"""),"vor 4 Tagen")</f>
        <v>vor 4 Tagen</v>
      </c>
      <c r="C1391" s="7" t="str">
        <f>IFERROR(__xludf.DUMMYFUNCTION("""COMPUTED_VALUE"""),"Für Freelancer: Specialist Automated Testing ? Lab Data Auto...")</f>
        <v>Für Freelancer: Specialist Automated Testing ? Lab Data Auto...</v>
      </c>
      <c r="D1391" s="7" t="str">
        <f>IFERROR(__xludf.DUMMYFUNCTION("""COMPUTED_VALUE"""),"Nordrhein-Westfalen")</f>
        <v>Nordrhein-Westfalen</v>
      </c>
      <c r="E1391" s="7" t="str">
        <f>IFERROR(__xludf.DUMMYFUNCTION("""COMPUTED_VALUE"""),"None")</f>
        <v>None</v>
      </c>
      <c r="F1391" s="7" t="str">
        <f>IFERROR(__xludf.DUMMYFUNCTION("""COMPUTED_VALUE"""),"None")</f>
        <v>None</v>
      </c>
      <c r="G1391" s="7" t="str">
        <f>IFERROR(__xludf.DUMMYFUNCTION("""COMPUTED_VALUE"""),"No salary data")</f>
        <v>No salary data</v>
      </c>
      <c r="H1391" s="7" t="str">
        <f>IFERROR(__xludf.DUMMYFUNCTION("""COMPUTED_VALUE"""),"No salary data")</f>
        <v>No salary data</v>
      </c>
      <c r="I1391" s="7" t="str">
        <f>IFERROR(__xludf.DUMMYFUNCTION("""COMPUTED_VALUE"""),"No salary data")</f>
        <v>No salary data</v>
      </c>
      <c r="J1391" s="7"/>
      <c r="K1391" s="7" t="str">
        <f>IFERROR(__xludf.DUMMYFUNCTION("""COMPUTED_VALUE"""),"No job type data")</f>
        <v>No job type data</v>
      </c>
      <c r="L1391" s="7" t="str">
        <f>IFERROR(__xludf.DUMMYFUNCTION("""COMPUTED_VALUE"""),"None")</f>
        <v>None</v>
      </c>
      <c r="M1391" s="7"/>
      <c r="N1391" s="7"/>
      <c r="O1391" s="7"/>
    </row>
    <row r="1392">
      <c r="A1392" s="29">
        <f>IFERROR(__xludf.DUMMYFUNCTION("""COMPUTED_VALUE"""),1388.0)</f>
        <v>1388</v>
      </c>
      <c r="B1392" s="7" t="str">
        <f>IFERROR(__xludf.DUMMYFUNCTION("""COMPUTED_VALUE"""),"Vor mehr als 30 Tagen")</f>
        <v>Vor mehr als 30 Tagen</v>
      </c>
      <c r="C1392" s="7" t="str">
        <f>IFERROR(__xludf.DUMMYFUNCTION("""COMPUTED_VALUE"""),"Für Freelancer: DWH Architekt")</f>
        <v>Für Freelancer: DWH Architekt</v>
      </c>
      <c r="D1392" s="7" t="str">
        <f>IFERROR(__xludf.DUMMYFUNCTION("""COMPUTED_VALUE"""),"Köln")</f>
        <v>Köln</v>
      </c>
      <c r="E1392" s="7" t="str">
        <f>IFERROR(__xludf.DUMMYFUNCTION("""COMPUTED_VALUE"""),"None")</f>
        <v>None</v>
      </c>
      <c r="F1392" s="7" t="str">
        <f>IFERROR(__xludf.DUMMYFUNCTION("""COMPUTED_VALUE"""),"None")</f>
        <v>None</v>
      </c>
      <c r="G1392" s="7" t="str">
        <f>IFERROR(__xludf.DUMMYFUNCTION("""COMPUTED_VALUE"""),"No salary data")</f>
        <v>No salary data</v>
      </c>
      <c r="H1392" s="7" t="str">
        <f>IFERROR(__xludf.DUMMYFUNCTION("""COMPUTED_VALUE"""),"No salary data")</f>
        <v>No salary data</v>
      </c>
      <c r="I1392" s="7" t="str">
        <f>IFERROR(__xludf.DUMMYFUNCTION("""COMPUTED_VALUE"""),"No salary data")</f>
        <v>No salary data</v>
      </c>
      <c r="J1392" s="7"/>
      <c r="K1392" s="7" t="str">
        <f>IFERROR(__xludf.DUMMYFUNCTION("""COMPUTED_VALUE"""),"No job type data")</f>
        <v>No job type data</v>
      </c>
      <c r="L1392" s="7" t="str">
        <f>IFERROR(__xludf.DUMMYFUNCTION("""COMPUTED_VALUE"""),"None")</f>
        <v>None</v>
      </c>
      <c r="M1392" s="7"/>
      <c r="N1392" s="7"/>
      <c r="O1392" s="7"/>
    </row>
    <row r="1393">
      <c r="A1393" s="29">
        <f>IFERROR(__xludf.DUMMYFUNCTION("""COMPUTED_VALUE"""),1389.0)</f>
        <v>1389</v>
      </c>
      <c r="B1393" s="7" t="str">
        <f>IFERROR(__xludf.DUMMYFUNCTION("""COMPUTED_VALUE"""),"vor 12 Tagen")</f>
        <v>vor 12 Tagen</v>
      </c>
      <c r="C1393" s="7" t="str">
        <f>IFERROR(__xludf.DUMMYFUNCTION("""COMPUTED_VALUE"""),"Für Freelancer: Data Engineer im Bereich Chemie (w/m/d) FULL...")</f>
        <v>Für Freelancer: Data Engineer im Bereich Chemie (w/m/d) FULL...</v>
      </c>
      <c r="D1393" s="7" t="str">
        <f>IFERROR(__xludf.DUMMYFUNCTION("""COMPUTED_VALUE"""),"München")</f>
        <v>München</v>
      </c>
      <c r="E1393" s="7" t="str">
        <f>IFERROR(__xludf.DUMMYFUNCTION("""COMPUTED_VALUE"""),"None")</f>
        <v>None</v>
      </c>
      <c r="F1393" s="7" t="str">
        <f>IFERROR(__xludf.DUMMYFUNCTION("""COMPUTED_VALUE"""),"None")</f>
        <v>None</v>
      </c>
      <c r="G1393" s="7" t="str">
        <f>IFERROR(__xludf.DUMMYFUNCTION("""COMPUTED_VALUE"""),"No salary data")</f>
        <v>No salary data</v>
      </c>
      <c r="H1393" s="7" t="str">
        <f>IFERROR(__xludf.DUMMYFUNCTION("""COMPUTED_VALUE"""),"No salary data")</f>
        <v>No salary data</v>
      </c>
      <c r="I1393" s="7" t="str">
        <f>IFERROR(__xludf.DUMMYFUNCTION("""COMPUTED_VALUE"""),"No salary data")</f>
        <v>No salary data</v>
      </c>
      <c r="J1393" s="7" t="str">
        <f>IFERROR(__xludf.DUMMYFUNCTION("""COMPUTED_VALUE"""),"Machine Learning")</f>
        <v>Machine Learning</v>
      </c>
      <c r="K1393" s="7" t="str">
        <f>IFERROR(__xludf.DUMMYFUNCTION("""COMPUTED_VALUE"""),"Contract")</f>
        <v>Contract</v>
      </c>
      <c r="L1393" s="7" t="str">
        <f>IFERROR(__xludf.DUMMYFUNCTION("""COMPUTED_VALUE"""),"None")</f>
        <v>None</v>
      </c>
      <c r="M1393" s="7"/>
      <c r="N1393" s="7"/>
      <c r="O1393" s="7"/>
    </row>
    <row r="1394">
      <c r="A1394" s="29">
        <f>IFERROR(__xludf.DUMMYFUNCTION("""COMPUTED_VALUE"""),1390.0)</f>
        <v>1390</v>
      </c>
      <c r="B1394" s="7" t="str">
        <f>IFERROR(__xludf.DUMMYFUNCTION("""COMPUTED_VALUE"""),"vor 3 Tagen")</f>
        <v>vor 3 Tagen</v>
      </c>
      <c r="C1394" s="7" t="str">
        <f>IFERROR(__xludf.DUMMYFUNCTION("""COMPUTED_VALUE"""),"Für Freelancer: Interim Business Intelligence Director (m/w/...")</f>
        <v>Für Freelancer: Interim Business Intelligence Director (m/w/...</v>
      </c>
      <c r="D1394" s="7" t="str">
        <f>IFERROR(__xludf.DUMMYFUNCTION("""COMPUTED_VALUE"""),"Bonn")</f>
        <v>Bonn</v>
      </c>
      <c r="E1394" s="7" t="str">
        <f>IFERROR(__xludf.DUMMYFUNCTION("""COMPUTED_VALUE"""),"None")</f>
        <v>None</v>
      </c>
      <c r="F1394" s="7" t="str">
        <f>IFERROR(__xludf.DUMMYFUNCTION("""COMPUTED_VALUE"""),"None")</f>
        <v>None</v>
      </c>
      <c r="G1394" s="7" t="str">
        <f>IFERROR(__xludf.DUMMYFUNCTION("""COMPUTED_VALUE"""),"No salary data")</f>
        <v>No salary data</v>
      </c>
      <c r="H1394" s="7" t="str">
        <f>IFERROR(__xludf.DUMMYFUNCTION("""COMPUTED_VALUE"""),"No salary data")</f>
        <v>No salary data</v>
      </c>
      <c r="I1394" s="7" t="str">
        <f>IFERROR(__xludf.DUMMYFUNCTION("""COMPUTED_VALUE"""),"No salary data")</f>
        <v>No salary data</v>
      </c>
      <c r="J1394" s="7" t="str">
        <f>IFERROR(__xludf.DUMMYFUNCTION("""COMPUTED_VALUE"""),"SQL, Tableau, Excel")</f>
        <v>SQL, Tableau, Excel</v>
      </c>
      <c r="K1394" s="7" t="str">
        <f>IFERROR(__xludf.DUMMYFUNCTION("""COMPUTED_VALUE"""),"No job type data")</f>
        <v>No job type data</v>
      </c>
      <c r="L1394" s="7" t="str">
        <f>IFERROR(__xludf.DUMMYFUNCTION("""COMPUTED_VALUE"""),"None")</f>
        <v>None</v>
      </c>
      <c r="M1394" s="7"/>
      <c r="N1394" s="7"/>
      <c r="O1394" s="7"/>
    </row>
    <row r="1395">
      <c r="A1395" s="29">
        <f>IFERROR(__xludf.DUMMYFUNCTION("""COMPUTED_VALUE"""),1391.0)</f>
        <v>1391</v>
      </c>
      <c r="B1395" s="7" t="str">
        <f>IFERROR(__xludf.DUMMYFUNCTION("""COMPUTED_VALUE"""),"Vor mehr als 30 Tagen")</f>
        <v>Vor mehr als 30 Tagen</v>
      </c>
      <c r="C1395" s="7" t="str">
        <f>IFERROR(__xludf.DUMMYFUNCTION("""COMPUTED_VALUE"""),"Für Freelancer: Adobe Experience Marketing Cloud Experte (m/...")</f>
        <v>Für Freelancer: Adobe Experience Marketing Cloud Experte (m/...</v>
      </c>
      <c r="D1395" s="7" t="str">
        <f>IFERROR(__xludf.DUMMYFUNCTION("""COMPUTED_VALUE"""),"Frankfurt am Main")</f>
        <v>Frankfurt am Main</v>
      </c>
      <c r="E1395" s="7" t="str">
        <f>IFERROR(__xludf.DUMMYFUNCTION("""COMPUTED_VALUE"""),"None")</f>
        <v>None</v>
      </c>
      <c r="F1395" s="7" t="str">
        <f>IFERROR(__xludf.DUMMYFUNCTION("""COMPUTED_VALUE"""),"None")</f>
        <v>None</v>
      </c>
      <c r="G1395" s="7" t="str">
        <f>IFERROR(__xludf.DUMMYFUNCTION("""COMPUTED_VALUE"""),"No salary data")</f>
        <v>No salary data</v>
      </c>
      <c r="H1395" s="7" t="str">
        <f>IFERROR(__xludf.DUMMYFUNCTION("""COMPUTED_VALUE"""),"No salary data")</f>
        <v>No salary data</v>
      </c>
      <c r="I1395" s="7" t="str">
        <f>IFERROR(__xludf.DUMMYFUNCTION("""COMPUTED_VALUE"""),"No salary data")</f>
        <v>No salary data</v>
      </c>
      <c r="J1395" s="7"/>
      <c r="K1395" s="7" t="str">
        <f>IFERROR(__xludf.DUMMYFUNCTION("""COMPUTED_VALUE"""),"No job type data")</f>
        <v>No job type data</v>
      </c>
      <c r="L1395" s="7" t="str">
        <f>IFERROR(__xludf.DUMMYFUNCTION("""COMPUTED_VALUE"""),"None")</f>
        <v>None</v>
      </c>
      <c r="M1395" s="7"/>
      <c r="N1395" s="7"/>
      <c r="O1395" s="7"/>
    </row>
    <row r="1396">
      <c r="A1396" s="29">
        <f>IFERROR(__xludf.DUMMYFUNCTION("""COMPUTED_VALUE"""),1392.0)</f>
        <v>1392</v>
      </c>
      <c r="B1396" s="7" t="str">
        <f>IFERROR(__xludf.DUMMYFUNCTION("""COMPUTED_VALUE"""),"Vor mehr als 30 Tagen")</f>
        <v>Vor mehr als 30 Tagen</v>
      </c>
      <c r="C1396" s="7" t="str">
        <f>IFERROR(__xludf.DUMMYFUNCTION("""COMPUTED_VALUE"""),"Für Freelancer: Teamlead Data Center &amp; Cloud Operations (Iaa...")</f>
        <v>Für Freelancer: Teamlead Data Center &amp; Cloud Operations (Iaa...</v>
      </c>
      <c r="D1396" s="7" t="str">
        <f>IFERROR(__xludf.DUMMYFUNCTION("""COMPUTED_VALUE"""),"Berlin")</f>
        <v>Berlin</v>
      </c>
      <c r="E1396" s="7" t="str">
        <f>IFERROR(__xludf.DUMMYFUNCTION("""COMPUTED_VALUE"""),"None")</f>
        <v>None</v>
      </c>
      <c r="F1396" s="7" t="str">
        <f>IFERROR(__xludf.DUMMYFUNCTION("""COMPUTED_VALUE"""),"None")</f>
        <v>None</v>
      </c>
      <c r="G1396" s="7" t="str">
        <f>IFERROR(__xludf.DUMMYFUNCTION("""COMPUTED_VALUE"""),"No salary data")</f>
        <v>No salary data</v>
      </c>
      <c r="H1396" s="7" t="str">
        <f>IFERROR(__xludf.DUMMYFUNCTION("""COMPUTED_VALUE"""),"No salary data")</f>
        <v>No salary data</v>
      </c>
      <c r="I1396" s="7" t="str">
        <f>IFERROR(__xludf.DUMMYFUNCTION("""COMPUTED_VALUE"""),"No salary data")</f>
        <v>No salary data</v>
      </c>
      <c r="J1396" s="7" t="str">
        <f>IFERROR(__xludf.DUMMYFUNCTION("""COMPUTED_VALUE"""),"Linux, Agile")</f>
        <v>Linux, Agile</v>
      </c>
      <c r="K1396" s="7" t="str">
        <f>IFERROR(__xludf.DUMMYFUNCTION("""COMPUTED_VALUE"""),"No job type data")</f>
        <v>No job type data</v>
      </c>
      <c r="L1396" s="7" t="str">
        <f>IFERROR(__xludf.DUMMYFUNCTION("""COMPUTED_VALUE"""),"None")</f>
        <v>None</v>
      </c>
      <c r="M1396" s="7"/>
      <c r="N1396" s="7"/>
      <c r="O1396" s="7"/>
    </row>
    <row r="1397">
      <c r="A1397" s="29">
        <f>IFERROR(__xludf.DUMMYFUNCTION("""COMPUTED_VALUE"""),1393.0)</f>
        <v>1393</v>
      </c>
      <c r="B1397" s="7" t="str">
        <f>IFERROR(__xludf.DUMMYFUNCTION("""COMPUTED_VALUE"""),"Vor mehr als 30 Tagen")</f>
        <v>Vor mehr als 30 Tagen</v>
      </c>
      <c r="C1397" s="7" t="str">
        <f>IFERROR(__xludf.DUMMYFUNCTION("""COMPUTED_VALUE"""),"Für Freelancer: Salesforce Architekt (m/w/d)")</f>
        <v>Für Freelancer: Salesforce Architekt (m/w/d)</v>
      </c>
      <c r="D1397" s="7" t="str">
        <f>IFERROR(__xludf.DUMMYFUNCTION("""COMPUTED_VALUE"""),"Stuttgart")</f>
        <v>Stuttgart</v>
      </c>
      <c r="E1397" s="7" t="str">
        <f>IFERROR(__xludf.DUMMYFUNCTION("""COMPUTED_VALUE"""),"None")</f>
        <v>None</v>
      </c>
      <c r="F1397" s="7" t="str">
        <f>IFERROR(__xludf.DUMMYFUNCTION("""COMPUTED_VALUE"""),"None")</f>
        <v>None</v>
      </c>
      <c r="G1397" s="7" t="str">
        <f>IFERROR(__xludf.DUMMYFUNCTION("""COMPUTED_VALUE"""),"No salary data")</f>
        <v>No salary data</v>
      </c>
      <c r="H1397" s="7" t="str">
        <f>IFERROR(__xludf.DUMMYFUNCTION("""COMPUTED_VALUE"""),"No salary data")</f>
        <v>No salary data</v>
      </c>
      <c r="I1397" s="7" t="str">
        <f>IFERROR(__xludf.DUMMYFUNCTION("""COMPUTED_VALUE"""),"No salary data")</f>
        <v>No salary data</v>
      </c>
      <c r="J1397" s="7" t="str">
        <f>IFERROR(__xludf.DUMMYFUNCTION("""COMPUTED_VALUE"""),"Agile")</f>
        <v>Agile</v>
      </c>
      <c r="K1397" s="7" t="str">
        <f>IFERROR(__xludf.DUMMYFUNCTION("""COMPUTED_VALUE"""),"No job type data")</f>
        <v>No job type data</v>
      </c>
      <c r="L1397" s="7" t="str">
        <f>IFERROR(__xludf.DUMMYFUNCTION("""COMPUTED_VALUE"""),"None")</f>
        <v>None</v>
      </c>
      <c r="M1397" s="7"/>
      <c r="N1397" s="7"/>
      <c r="O1397" s="7"/>
    </row>
    <row r="1398">
      <c r="A1398" s="29">
        <f>IFERROR(__xludf.DUMMYFUNCTION("""COMPUTED_VALUE"""),1394.0)</f>
        <v>1394</v>
      </c>
      <c r="B1398" s="7" t="str">
        <f>IFERROR(__xludf.DUMMYFUNCTION("""COMPUTED_VALUE"""),"Heute")</f>
        <v>Heute</v>
      </c>
      <c r="C1398" s="7" t="str">
        <f>IFERROR(__xludf.DUMMYFUNCTION("""COMPUTED_VALUE"""),"Für Freelancer: Berater SAP ILM (DSGVO) für SAP HCM")</f>
        <v>Für Freelancer: Berater SAP ILM (DSGVO) für SAP HCM</v>
      </c>
      <c r="D1398" s="7" t="str">
        <f>IFERROR(__xludf.DUMMYFUNCTION("""COMPUTED_VALUE"""),"Deutschland")</f>
        <v>Deutschland</v>
      </c>
      <c r="E1398" s="7" t="str">
        <f>IFERROR(__xludf.DUMMYFUNCTION("""COMPUTED_VALUE"""),"None")</f>
        <v>None</v>
      </c>
      <c r="F1398" s="7" t="str">
        <f>IFERROR(__xludf.DUMMYFUNCTION("""COMPUTED_VALUE"""),"None")</f>
        <v>None</v>
      </c>
      <c r="G1398" s="7" t="str">
        <f>IFERROR(__xludf.DUMMYFUNCTION("""COMPUTED_VALUE"""),"No salary data")</f>
        <v>No salary data</v>
      </c>
      <c r="H1398" s="7" t="str">
        <f>IFERROR(__xludf.DUMMYFUNCTION("""COMPUTED_VALUE"""),"No salary data")</f>
        <v>No salary data</v>
      </c>
      <c r="I1398" s="7" t="str">
        <f>IFERROR(__xludf.DUMMYFUNCTION("""COMPUTED_VALUE"""),"No salary data")</f>
        <v>No salary data</v>
      </c>
      <c r="J1398" s="7"/>
      <c r="K1398" s="7" t="str">
        <f>IFERROR(__xludf.DUMMYFUNCTION("""COMPUTED_VALUE"""),"No job type data")</f>
        <v>No job type data</v>
      </c>
      <c r="L1398" s="7" t="str">
        <f>IFERROR(__xludf.DUMMYFUNCTION("""COMPUTED_VALUE"""),"None")</f>
        <v>None</v>
      </c>
      <c r="M1398" s="7"/>
      <c r="N1398" s="7"/>
      <c r="O1398" s="7"/>
    </row>
    <row r="1399">
      <c r="A1399" s="29">
        <f>IFERROR(__xludf.DUMMYFUNCTION("""COMPUTED_VALUE"""),1395.0)</f>
        <v>1395</v>
      </c>
      <c r="B1399" s="7" t="str">
        <f>IFERROR(__xludf.DUMMYFUNCTION("""COMPUTED_VALUE"""),"vor 18 Tagen")</f>
        <v>vor 18 Tagen</v>
      </c>
      <c r="C1399" s="7" t="str">
        <f>IFERROR(__xludf.DUMMYFUNCTION("""COMPUTED_VALUE"""),"Data Center Technician")</f>
        <v>Data Center Technician</v>
      </c>
      <c r="D1399" s="7" t="str">
        <f>IFERROR(__xludf.DUMMYFUNCTION("""COMPUTED_VALUE"""),"Deutschland")</f>
        <v>Deutschland</v>
      </c>
      <c r="E1399" s="7" t="str">
        <f>IFERROR(__xludf.DUMMYFUNCTION("""COMPUTED_VALUE"""),"Amazon Web Services (AWS)")</f>
        <v>Amazon Web Services (AWS)</v>
      </c>
      <c r="F1399" s="7" t="str">
        <f>IFERROR(__xludf.DUMMYFUNCTION("""COMPUTED_VALUE"""),"None")</f>
        <v>None</v>
      </c>
      <c r="G1399" s="7" t="str">
        <f>IFERROR(__xludf.DUMMYFUNCTION("""COMPUTED_VALUE"""),"No salary data")</f>
        <v>No salary data</v>
      </c>
      <c r="H1399" s="7" t="str">
        <f>IFERROR(__xludf.DUMMYFUNCTION("""COMPUTED_VALUE"""),"No salary data")</f>
        <v>No salary data</v>
      </c>
      <c r="I1399" s="7" t="str">
        <f>IFERROR(__xludf.DUMMYFUNCTION("""COMPUTED_VALUE"""),"No salary data")</f>
        <v>No salary data</v>
      </c>
      <c r="J1399" s="7" t="str">
        <f>IFERROR(__xludf.DUMMYFUNCTION("""COMPUTED_VALUE"""),"Python, Linux")</f>
        <v>Python, Linux</v>
      </c>
      <c r="K1399" s="7" t="str">
        <f>IFERROR(__xludf.DUMMYFUNCTION("""COMPUTED_VALUE"""),"No job type data")</f>
        <v>No job type data</v>
      </c>
      <c r="L1399" s="7" t="str">
        <f>IFERROR(__xludf.DUMMYFUNCTION("""COMPUTED_VALUE"""),"3,6")</f>
        <v>3,6</v>
      </c>
      <c r="M1399" s="7"/>
      <c r="N1399" s="7"/>
      <c r="O1399" s="7"/>
    </row>
    <row r="1400">
      <c r="A1400" s="29">
        <f>IFERROR(__xludf.DUMMYFUNCTION("""COMPUTED_VALUE"""),1396.0)</f>
        <v>1396</v>
      </c>
      <c r="B1400" s="7" t="str">
        <f>IFERROR(__xludf.DUMMYFUNCTION("""COMPUTED_VALUE"""),"vor 13 Tagen")</f>
        <v>vor 13 Tagen</v>
      </c>
      <c r="C1400" s="7" t="str">
        <f>IFERROR(__xludf.DUMMYFUNCTION("""COMPUTED_VALUE"""),"Für Freelancer: Java / Cloud Entwickler (w/m) in Hamburg für...")</f>
        <v>Für Freelancer: Java / Cloud Entwickler (w/m) in Hamburg für...</v>
      </c>
      <c r="D1400" s="7" t="str">
        <f>IFERROR(__xludf.DUMMYFUNCTION("""COMPUTED_VALUE"""),"Hamburg")</f>
        <v>Hamburg</v>
      </c>
      <c r="E1400" s="7" t="str">
        <f>IFERROR(__xludf.DUMMYFUNCTION("""COMPUTED_VALUE"""),"None")</f>
        <v>None</v>
      </c>
      <c r="F1400" s="7" t="str">
        <f>IFERROR(__xludf.DUMMYFUNCTION("""COMPUTED_VALUE"""),"None")</f>
        <v>None</v>
      </c>
      <c r="G1400" s="7" t="str">
        <f>IFERROR(__xludf.DUMMYFUNCTION("""COMPUTED_VALUE"""),"No salary data")</f>
        <v>No salary data</v>
      </c>
      <c r="H1400" s="7" t="str">
        <f>IFERROR(__xludf.DUMMYFUNCTION("""COMPUTED_VALUE"""),"No salary data")</f>
        <v>No salary data</v>
      </c>
      <c r="I1400" s="7" t="str">
        <f>IFERROR(__xludf.DUMMYFUNCTION("""COMPUTED_VALUE"""),"No salary data")</f>
        <v>No salary data</v>
      </c>
      <c r="J1400" s="7" t="str">
        <f>IFERROR(__xludf.DUMMYFUNCTION("""COMPUTED_VALUE"""),"Agile")</f>
        <v>Agile</v>
      </c>
      <c r="K1400" s="7" t="str">
        <f>IFERROR(__xludf.DUMMYFUNCTION("""COMPUTED_VALUE"""),"No job type data")</f>
        <v>No job type data</v>
      </c>
      <c r="L1400" s="7" t="str">
        <f>IFERROR(__xludf.DUMMYFUNCTION("""COMPUTED_VALUE"""),"None")</f>
        <v>None</v>
      </c>
      <c r="M1400" s="7"/>
      <c r="N1400" s="7"/>
      <c r="O1400" s="7"/>
    </row>
    <row r="1401">
      <c r="A1401" s="29">
        <f>IFERROR(__xludf.DUMMYFUNCTION("""COMPUTED_VALUE"""),1397.0)</f>
        <v>1397</v>
      </c>
      <c r="B1401" s="7" t="str">
        <f>IFERROR(__xludf.DUMMYFUNCTION("""COMPUTED_VALUE"""),"vor 6 Tagen")</f>
        <v>vor 6 Tagen</v>
      </c>
      <c r="C1401" s="7" t="str">
        <f>IFERROR(__xludf.DUMMYFUNCTION("""COMPUTED_VALUE"""),"Für Freelancer: Power BI Entwickler (m/w/d)")</f>
        <v>Für Freelancer: Power BI Entwickler (m/w/d)</v>
      </c>
      <c r="D1401" s="7" t="str">
        <f>IFERROR(__xludf.DUMMYFUNCTION("""COMPUTED_VALUE"""),"Home Office")</f>
        <v>Home Office</v>
      </c>
      <c r="E1401" s="7" t="str">
        <f>IFERROR(__xludf.DUMMYFUNCTION("""COMPUTED_VALUE"""),"None")</f>
        <v>None</v>
      </c>
      <c r="F1401" s="7" t="str">
        <f>IFERROR(__xludf.DUMMYFUNCTION("""COMPUTED_VALUE"""),"None")</f>
        <v>None</v>
      </c>
      <c r="G1401" s="7" t="str">
        <f>IFERROR(__xludf.DUMMYFUNCTION("""COMPUTED_VALUE"""),"No salary data")</f>
        <v>No salary data</v>
      </c>
      <c r="H1401" s="7" t="str">
        <f>IFERROR(__xludf.DUMMYFUNCTION("""COMPUTED_VALUE"""),"No salary data")</f>
        <v>No salary data</v>
      </c>
      <c r="I1401" s="7" t="str">
        <f>IFERROR(__xludf.DUMMYFUNCTION("""COMPUTED_VALUE"""),"No salary data")</f>
        <v>No salary data</v>
      </c>
      <c r="J1401" s="7" t="str">
        <f>IFERROR(__xludf.DUMMYFUNCTION("""COMPUTED_VALUE"""),"SQL")</f>
        <v>SQL</v>
      </c>
      <c r="K1401" s="7" t="str">
        <f>IFERROR(__xludf.DUMMYFUNCTION("""COMPUTED_VALUE"""),"No job type data")</f>
        <v>No job type data</v>
      </c>
      <c r="L1401" s="7" t="str">
        <f>IFERROR(__xludf.DUMMYFUNCTION("""COMPUTED_VALUE"""),"None")</f>
        <v>None</v>
      </c>
      <c r="M1401" s="7"/>
      <c r="N1401" s="7"/>
      <c r="O1401" s="7"/>
    </row>
    <row r="1402">
      <c r="A1402" s="29">
        <f>IFERROR(__xludf.DUMMYFUNCTION("""COMPUTED_VALUE"""),1398.0)</f>
        <v>1398</v>
      </c>
      <c r="B1402" s="7" t="str">
        <f>IFERROR(__xludf.DUMMYFUNCTION("""COMPUTED_VALUE"""),"Vor mehr als 30 Tagen")</f>
        <v>Vor mehr als 30 Tagen</v>
      </c>
      <c r="C1402" s="7" t="str">
        <f>IFERROR(__xludf.DUMMYFUNCTION("""COMPUTED_VALUE"""),"Bachelor of Science, Wirtschaftsinformatik mit dem Schwerpun...")</f>
        <v>Bachelor of Science, Wirtschaftsinformatik mit dem Schwerpun...</v>
      </c>
      <c r="D1402" s="7" t="str">
        <f>IFERROR(__xludf.DUMMYFUNCTION("""COMPUTED_VALUE"""),"Frankfurt am Main")</f>
        <v>Frankfurt am Main</v>
      </c>
      <c r="E1402" s="7" t="str">
        <f>IFERROR(__xludf.DUMMYFUNCTION("""COMPUTED_VALUE"""),"Fraport AG")</f>
        <v>Fraport AG</v>
      </c>
      <c r="F1402" s="7" t="str">
        <f>IFERROR(__xludf.DUMMYFUNCTION("""COMPUTED_VALUE"""),"None")</f>
        <v>None</v>
      </c>
      <c r="G1402" s="7" t="str">
        <f>IFERROR(__xludf.DUMMYFUNCTION("""COMPUTED_VALUE"""),"No salary data")</f>
        <v>No salary data</v>
      </c>
      <c r="H1402" s="7" t="str">
        <f>IFERROR(__xludf.DUMMYFUNCTION("""COMPUTED_VALUE"""),"No salary data")</f>
        <v>No salary data</v>
      </c>
      <c r="I1402" s="7" t="str">
        <f>IFERROR(__xludf.DUMMYFUNCTION("""COMPUTED_VALUE"""),"No salary data")</f>
        <v>No salary data</v>
      </c>
      <c r="J1402" s="7" t="str">
        <f>IFERROR(__xludf.DUMMYFUNCTION("""COMPUTED_VALUE"""),"Git")</f>
        <v>Git</v>
      </c>
      <c r="K1402" s="7" t="str">
        <f>IFERROR(__xludf.DUMMYFUNCTION("""COMPUTED_VALUE"""),"No job type data")</f>
        <v>No job type data</v>
      </c>
      <c r="L1402" s="7" t="str">
        <f>IFERROR(__xludf.DUMMYFUNCTION("""COMPUTED_VALUE"""),"3,9")</f>
        <v>3,9</v>
      </c>
      <c r="M1402" s="7"/>
      <c r="N1402" s="7"/>
      <c r="O1402" s="7"/>
    </row>
    <row r="1403">
      <c r="A1403" s="29">
        <f>IFERROR(__xludf.DUMMYFUNCTION("""COMPUTED_VALUE"""),1399.0)</f>
        <v>1399</v>
      </c>
      <c r="B1403" s="7" t="str">
        <f>IFERROR(__xludf.DUMMYFUNCTION("""COMPUTED_VALUE"""),"vor 7 Tagen")</f>
        <v>vor 7 Tagen</v>
      </c>
      <c r="C1403" s="7" t="str">
        <f>IFERROR(__xludf.DUMMYFUNCTION("""COMPUTED_VALUE"""),"Für Freelancer: Produktmanager Data Management")</f>
        <v>Für Freelancer: Produktmanager Data Management</v>
      </c>
      <c r="D1403" s="7" t="str">
        <f>IFERROR(__xludf.DUMMYFUNCTION("""COMPUTED_VALUE"""),"Hamburg")</f>
        <v>Hamburg</v>
      </c>
      <c r="E1403" s="7" t="str">
        <f>IFERROR(__xludf.DUMMYFUNCTION("""COMPUTED_VALUE"""),"None")</f>
        <v>None</v>
      </c>
      <c r="F1403" s="7" t="str">
        <f>IFERROR(__xludf.DUMMYFUNCTION("""COMPUTED_VALUE"""),"None")</f>
        <v>None</v>
      </c>
      <c r="G1403" s="7" t="str">
        <f>IFERROR(__xludf.DUMMYFUNCTION("""COMPUTED_VALUE"""),"No salary data")</f>
        <v>No salary data</v>
      </c>
      <c r="H1403" s="7" t="str">
        <f>IFERROR(__xludf.DUMMYFUNCTION("""COMPUTED_VALUE"""),"No salary data")</f>
        <v>No salary data</v>
      </c>
      <c r="I1403" s="7" t="str">
        <f>IFERROR(__xludf.DUMMYFUNCTION("""COMPUTED_VALUE"""),"No salary data")</f>
        <v>No salary data</v>
      </c>
      <c r="J1403" s="7" t="str">
        <f>IFERROR(__xludf.DUMMYFUNCTION("""COMPUTED_VALUE"""),"Agile")</f>
        <v>Agile</v>
      </c>
      <c r="K1403" s="7" t="str">
        <f>IFERROR(__xludf.DUMMYFUNCTION("""COMPUTED_VALUE"""),"No job type data")</f>
        <v>No job type data</v>
      </c>
      <c r="L1403" s="7" t="str">
        <f>IFERROR(__xludf.DUMMYFUNCTION("""COMPUTED_VALUE"""),"None")</f>
        <v>None</v>
      </c>
      <c r="M1403" s="7"/>
      <c r="N1403" s="7"/>
      <c r="O1403" s="7"/>
    </row>
    <row r="1404">
      <c r="A1404" s="29">
        <f>IFERROR(__xludf.DUMMYFUNCTION("""COMPUTED_VALUE"""),1400.0)</f>
        <v>1400</v>
      </c>
      <c r="B1404" s="7" t="str">
        <f>IFERROR(__xludf.DUMMYFUNCTION("""COMPUTED_VALUE"""),"vor 1 Tag")</f>
        <v>vor 1 Tag</v>
      </c>
      <c r="C1404" s="7" t="str">
        <f>IFERROR(__xludf.DUMMYFUNCTION("""COMPUTED_VALUE"""),"Business Analyst (m/w/d) Agiles Anforderungsmanagement")</f>
        <v>Business Analyst (m/w/d) Agiles Anforderungsmanagement</v>
      </c>
      <c r="D1404" s="7" t="str">
        <f>IFERROR(__xludf.DUMMYFUNCTION("""COMPUTED_VALUE"""),"Nürnberg")</f>
        <v>Nürnberg</v>
      </c>
      <c r="E1404" s="7" t="str">
        <f>IFERROR(__xludf.DUMMYFUNCTION("""COMPUTED_VALUE"""),"MID GmbH")</f>
        <v>MID GmbH</v>
      </c>
      <c r="F1404" s="7" t="str">
        <f>IFERROR(__xludf.DUMMYFUNCTION("""COMPUTED_VALUE"""),"None")</f>
        <v>None</v>
      </c>
      <c r="G1404" s="7" t="str">
        <f>IFERROR(__xludf.DUMMYFUNCTION("""COMPUTED_VALUE"""),"No salary data")</f>
        <v>No salary data</v>
      </c>
      <c r="H1404" s="7" t="str">
        <f>IFERROR(__xludf.DUMMYFUNCTION("""COMPUTED_VALUE"""),"No salary data")</f>
        <v>No salary data</v>
      </c>
      <c r="I1404" s="7" t="str">
        <f>IFERROR(__xludf.DUMMYFUNCTION("""COMPUTED_VALUE"""),"No salary data")</f>
        <v>No salary data</v>
      </c>
      <c r="J1404" s="7" t="str">
        <f>IFERROR(__xludf.DUMMYFUNCTION("""COMPUTED_VALUE"""),"Git, Agile, Jira")</f>
        <v>Git, Agile, Jira</v>
      </c>
      <c r="K1404" s="7" t="str">
        <f>IFERROR(__xludf.DUMMYFUNCTION("""COMPUTED_VALUE"""),"No job type data")</f>
        <v>No job type data</v>
      </c>
      <c r="L1404" s="7" t="str">
        <f>IFERROR(__xludf.DUMMYFUNCTION("""COMPUTED_VALUE"""),"4,0")</f>
        <v>4,0</v>
      </c>
      <c r="M1404" s="7"/>
      <c r="N1404" s="7"/>
      <c r="O1404" s="7"/>
    </row>
    <row r="1405">
      <c r="A1405" s="29">
        <f>IFERROR(__xludf.DUMMYFUNCTION("""COMPUTED_VALUE"""),1401.0)</f>
        <v>1401</v>
      </c>
      <c r="B1405" s="7" t="str">
        <f>IFERROR(__xludf.DUMMYFUNCTION("""COMPUTED_VALUE"""),"Vor mehr als 30 Tagen")</f>
        <v>Vor mehr als 30 Tagen</v>
      </c>
      <c r="C1405" s="7" t="str">
        <f>IFERROR(__xludf.DUMMYFUNCTION("""COMPUTED_VALUE"""),"Für Freelancer: Senior Python Developer")</f>
        <v>Für Freelancer: Senior Python Developer</v>
      </c>
      <c r="D1405" s="7" t="str">
        <f>IFERROR(__xludf.DUMMYFUNCTION("""COMPUTED_VALUE"""),"Berlin")</f>
        <v>Berlin</v>
      </c>
      <c r="E1405" s="7" t="str">
        <f>IFERROR(__xludf.DUMMYFUNCTION("""COMPUTED_VALUE"""),"None")</f>
        <v>None</v>
      </c>
      <c r="F1405" s="7" t="str">
        <f>IFERROR(__xludf.DUMMYFUNCTION("""COMPUTED_VALUE"""),"None")</f>
        <v>None</v>
      </c>
      <c r="G1405" s="7" t="str">
        <f>IFERROR(__xludf.DUMMYFUNCTION("""COMPUTED_VALUE"""),"No salary data")</f>
        <v>No salary data</v>
      </c>
      <c r="H1405" s="7" t="str">
        <f>IFERROR(__xludf.DUMMYFUNCTION("""COMPUTED_VALUE"""),"No salary data")</f>
        <v>No salary data</v>
      </c>
      <c r="I1405" s="7" t="str">
        <f>IFERROR(__xludf.DUMMYFUNCTION("""COMPUTED_VALUE"""),"No salary data")</f>
        <v>No salary data</v>
      </c>
      <c r="J1405" s="7" t="str">
        <f>IFERROR(__xludf.DUMMYFUNCTION("""COMPUTED_VALUE"""),"Python, Excel")</f>
        <v>Python, Excel</v>
      </c>
      <c r="K1405" s="7" t="str">
        <f>IFERROR(__xludf.DUMMYFUNCTION("""COMPUTED_VALUE"""),"Contract")</f>
        <v>Contract</v>
      </c>
      <c r="L1405" s="7" t="str">
        <f>IFERROR(__xludf.DUMMYFUNCTION("""COMPUTED_VALUE"""),"None")</f>
        <v>None</v>
      </c>
      <c r="M1405" s="7"/>
      <c r="N1405" s="7"/>
      <c r="O1405" s="7"/>
    </row>
    <row r="1406">
      <c r="A1406" s="29">
        <f>IFERROR(__xludf.DUMMYFUNCTION("""COMPUTED_VALUE"""),1402.0)</f>
        <v>1402</v>
      </c>
      <c r="B1406" s="7" t="str">
        <f>IFERROR(__xludf.DUMMYFUNCTION("""COMPUTED_VALUE"""),"Vor mehr als 30 Tagen")</f>
        <v>Vor mehr als 30 Tagen</v>
      </c>
      <c r="C1406" s="7" t="str">
        <f>IFERROR(__xludf.DUMMYFUNCTION("""COMPUTED_VALUE"""),"VIE DATA ANALYTICS / EXPERT SYSTEM CONSORS FINANZ – MUNICH -...")</f>
        <v>VIE DATA ANALYTICS / EXPERT SYSTEM CONSORS FINANZ – MUNICH -...</v>
      </c>
      <c r="D1406" s="7" t="str">
        <f>IFERROR(__xludf.DUMMYFUNCTION("""COMPUTED_VALUE"""),"München")</f>
        <v>München</v>
      </c>
      <c r="E1406" s="7" t="str">
        <f>IFERROR(__xludf.DUMMYFUNCTION("""COMPUTED_VALUE"""),"BNP Paribas Personal Finance")</f>
        <v>BNP Paribas Personal Finance</v>
      </c>
      <c r="F1406" s="7" t="str">
        <f>IFERROR(__xludf.DUMMYFUNCTION("""COMPUTED_VALUE"""),"None")</f>
        <v>None</v>
      </c>
      <c r="G1406" s="7" t="str">
        <f>IFERROR(__xludf.DUMMYFUNCTION("""COMPUTED_VALUE"""),"No salary data")</f>
        <v>No salary data</v>
      </c>
      <c r="H1406" s="7" t="str">
        <f>IFERROR(__xludf.DUMMYFUNCTION("""COMPUTED_VALUE"""),"No salary data")</f>
        <v>No salary data</v>
      </c>
      <c r="I1406" s="7" t="str">
        <f>IFERROR(__xludf.DUMMYFUNCTION("""COMPUTED_VALUE"""),"No salary data")</f>
        <v>No salary data</v>
      </c>
      <c r="J1406" s="7" t="str">
        <f>IFERROR(__xludf.DUMMYFUNCTION("""COMPUTED_VALUE"""),"Python, Machine Learning, Git, Agile")</f>
        <v>Python, Machine Learning, Git, Agile</v>
      </c>
      <c r="K1406" s="7" t="str">
        <f>IFERROR(__xludf.DUMMYFUNCTION("""COMPUTED_VALUE"""),"No job type data")</f>
        <v>No job type data</v>
      </c>
      <c r="L1406" s="7" t="str">
        <f>IFERROR(__xludf.DUMMYFUNCTION("""COMPUTED_VALUE"""),"3,9")</f>
        <v>3,9</v>
      </c>
      <c r="M1406" s="7"/>
      <c r="N1406" s="7"/>
      <c r="O1406" s="7"/>
    </row>
    <row r="1407">
      <c r="A1407" s="29">
        <f>IFERROR(__xludf.DUMMYFUNCTION("""COMPUTED_VALUE"""),1403.0)</f>
        <v>1403</v>
      </c>
      <c r="B1407" s="7" t="str">
        <f>IFERROR(__xludf.DUMMYFUNCTION("""COMPUTED_VALUE"""),"vor 17 Tagen")</f>
        <v>vor 17 Tagen</v>
      </c>
      <c r="C1407" s="7" t="str">
        <f>IFERROR(__xludf.DUMMYFUNCTION("""COMPUTED_VALUE"""),"Für Freelancer: Gaia Los 1 - Infrastruktur/ DB/ Middleware-S...")</f>
        <v>Für Freelancer: Gaia Los 1 - Infrastruktur/ DB/ Middleware-S...</v>
      </c>
      <c r="D1407" s="7" t="str">
        <f>IFERROR(__xludf.DUMMYFUNCTION("""COMPUTED_VALUE"""),"Nürnberg")</f>
        <v>Nürnberg</v>
      </c>
      <c r="E1407" s="7" t="str">
        <f>IFERROR(__xludf.DUMMYFUNCTION("""COMPUTED_VALUE"""),"None")</f>
        <v>None</v>
      </c>
      <c r="F1407" s="7" t="str">
        <f>IFERROR(__xludf.DUMMYFUNCTION("""COMPUTED_VALUE"""),"None")</f>
        <v>None</v>
      </c>
      <c r="G1407" s="7" t="str">
        <f>IFERROR(__xludf.DUMMYFUNCTION("""COMPUTED_VALUE"""),"No salary data")</f>
        <v>No salary data</v>
      </c>
      <c r="H1407" s="7" t="str">
        <f>IFERROR(__xludf.DUMMYFUNCTION("""COMPUTED_VALUE"""),"No salary data")</f>
        <v>No salary data</v>
      </c>
      <c r="I1407" s="7" t="str">
        <f>IFERROR(__xludf.DUMMYFUNCTION("""COMPUTED_VALUE"""),"No salary data")</f>
        <v>No salary data</v>
      </c>
      <c r="J1407" s="7" t="str">
        <f>IFERROR(__xludf.DUMMYFUNCTION("""COMPUTED_VALUE"""),"Jython, SQL, Linux")</f>
        <v>Jython, SQL, Linux</v>
      </c>
      <c r="K1407" s="7" t="str">
        <f>IFERROR(__xludf.DUMMYFUNCTION("""COMPUTED_VALUE"""),"No job type data")</f>
        <v>No job type data</v>
      </c>
      <c r="L1407" s="7" t="str">
        <f>IFERROR(__xludf.DUMMYFUNCTION("""COMPUTED_VALUE"""),"None")</f>
        <v>None</v>
      </c>
      <c r="M1407" s="7"/>
      <c r="N1407" s="7"/>
      <c r="O1407" s="7"/>
    </row>
    <row r="1408">
      <c r="A1408" s="29">
        <f>IFERROR(__xludf.DUMMYFUNCTION("""COMPUTED_VALUE"""),1404.0)</f>
        <v>1404</v>
      </c>
      <c r="B1408" s="7" t="str">
        <f>IFERROR(__xludf.DUMMYFUNCTION("""COMPUTED_VALUE"""),"vor 17 Tagen")</f>
        <v>vor 17 Tagen</v>
      </c>
      <c r="C1408" s="7" t="str">
        <f>IFERROR(__xludf.DUMMYFUNCTION("""COMPUTED_VALUE"""),"Für Freelancer: Gaia Los 1 - Infrastruktur/ DB/ Middleware-S...")</f>
        <v>Für Freelancer: Gaia Los 1 - Infrastruktur/ DB/ Middleware-S...</v>
      </c>
      <c r="D1408" s="7" t="str">
        <f>IFERROR(__xludf.DUMMYFUNCTION("""COMPUTED_VALUE"""),"Nürnberg")</f>
        <v>Nürnberg</v>
      </c>
      <c r="E1408" s="7" t="str">
        <f>IFERROR(__xludf.DUMMYFUNCTION("""COMPUTED_VALUE"""),"None")</f>
        <v>None</v>
      </c>
      <c r="F1408" s="7" t="str">
        <f>IFERROR(__xludf.DUMMYFUNCTION("""COMPUTED_VALUE"""),"None")</f>
        <v>None</v>
      </c>
      <c r="G1408" s="7" t="str">
        <f>IFERROR(__xludf.DUMMYFUNCTION("""COMPUTED_VALUE"""),"No salary data")</f>
        <v>No salary data</v>
      </c>
      <c r="H1408" s="7" t="str">
        <f>IFERROR(__xludf.DUMMYFUNCTION("""COMPUTED_VALUE"""),"No salary data")</f>
        <v>No salary data</v>
      </c>
      <c r="I1408" s="7" t="str">
        <f>IFERROR(__xludf.DUMMYFUNCTION("""COMPUTED_VALUE"""),"No salary data")</f>
        <v>No salary data</v>
      </c>
      <c r="J1408" s="7" t="str">
        <f>IFERROR(__xludf.DUMMYFUNCTION("""COMPUTED_VALUE"""),"SQL, Linux")</f>
        <v>SQL, Linux</v>
      </c>
      <c r="K1408" s="7" t="str">
        <f>IFERROR(__xludf.DUMMYFUNCTION("""COMPUTED_VALUE"""),"No job type data")</f>
        <v>No job type data</v>
      </c>
      <c r="L1408" s="7" t="str">
        <f>IFERROR(__xludf.DUMMYFUNCTION("""COMPUTED_VALUE"""),"None")</f>
        <v>None</v>
      </c>
      <c r="M1408" s="7"/>
      <c r="N1408" s="7"/>
      <c r="O1408" s="7"/>
    </row>
    <row r="1409">
      <c r="A1409" s="29">
        <f>IFERROR(__xludf.DUMMYFUNCTION("""COMPUTED_VALUE"""),1405.0)</f>
        <v>1405</v>
      </c>
      <c r="B1409" s="7" t="str">
        <f>IFERROR(__xludf.DUMMYFUNCTION("""COMPUTED_VALUE"""),"vor 9 Tagen")</f>
        <v>vor 9 Tagen</v>
      </c>
      <c r="C1409" s="7" t="str">
        <f>IFERROR(__xludf.DUMMYFUNCTION("""COMPUTED_VALUE"""),"Graph Technology Data Engineer (m/f/d)")</f>
        <v>Graph Technology Data Engineer (m/f/d)</v>
      </c>
      <c r="D1409" s="7" t="str">
        <f>IFERROR(__xludf.DUMMYFUNCTION("""COMPUTED_VALUE"""),"München")</f>
        <v>München</v>
      </c>
      <c r="E1409" s="7" t="str">
        <f>IFERROR(__xludf.DUMMYFUNCTION("""COMPUTED_VALUE"""),"Ippen Digital GmbH &amp; Co. KG")</f>
        <v>Ippen Digital GmbH &amp; Co. KG</v>
      </c>
      <c r="F1409" s="7" t="str">
        <f>IFERROR(__xludf.DUMMYFUNCTION("""COMPUTED_VALUE"""),"None")</f>
        <v>None</v>
      </c>
      <c r="G1409" s="7" t="str">
        <f>IFERROR(__xludf.DUMMYFUNCTION("""COMPUTED_VALUE"""),"No salary data")</f>
        <v>No salary data</v>
      </c>
      <c r="H1409" s="7" t="str">
        <f>IFERROR(__xludf.DUMMYFUNCTION("""COMPUTED_VALUE"""),"No salary data")</f>
        <v>No salary data</v>
      </c>
      <c r="I1409" s="7" t="str">
        <f>IFERROR(__xludf.DUMMYFUNCTION("""COMPUTED_VALUE"""),"No salary data")</f>
        <v>No salary data</v>
      </c>
      <c r="J1409" s="7" t="str">
        <f>IFERROR(__xludf.DUMMYFUNCTION("""COMPUTED_VALUE"""),"SQL, Git, Agile")</f>
        <v>SQL, Git, Agile</v>
      </c>
      <c r="K1409" s="7" t="str">
        <f>IFERROR(__xludf.DUMMYFUNCTION("""COMPUTED_VALUE"""),"No job type data")</f>
        <v>No job type data</v>
      </c>
      <c r="L1409" s="7" t="str">
        <f>IFERROR(__xludf.DUMMYFUNCTION("""COMPUTED_VALUE"""),"None")</f>
        <v>None</v>
      </c>
      <c r="M1409" s="7"/>
      <c r="N1409" s="7"/>
      <c r="O1409" s="7"/>
    </row>
    <row r="1410">
      <c r="A1410" s="29">
        <f>IFERROR(__xludf.DUMMYFUNCTION("""COMPUTED_VALUE"""),1406.0)</f>
        <v>1406</v>
      </c>
      <c r="B1410" s="7" t="str">
        <f>IFERROR(__xludf.DUMMYFUNCTION("""COMPUTED_VALUE"""),"Vor mehr als 30 Tagen")</f>
        <v>Vor mehr als 30 Tagen</v>
      </c>
      <c r="C1410" s="7" t="str">
        <f>IFERROR(__xludf.DUMMYFUNCTION("""COMPUTED_VALUE"""),"Bootcamp Pflichtpraktikant (m/w/d) Softwareentwicklung")</f>
        <v>Bootcamp Pflichtpraktikant (m/w/d) Softwareentwicklung</v>
      </c>
      <c r="D1410" s="7" t="str">
        <f>IFERROR(__xludf.DUMMYFUNCTION("""COMPUTED_VALUE"""),"Hamburg")</f>
        <v>Hamburg</v>
      </c>
      <c r="E1410" s="7" t="str">
        <f>IFERROR(__xludf.DUMMYFUNCTION("""COMPUTED_VALUE"""),"Interone GmbH")</f>
        <v>Interone GmbH</v>
      </c>
      <c r="F1410" s="7" t="str">
        <f>IFERROR(__xludf.DUMMYFUNCTION("""COMPUTED_VALUE"""),"None")</f>
        <v>None</v>
      </c>
      <c r="G1410" s="7" t="str">
        <f>IFERROR(__xludf.DUMMYFUNCTION("""COMPUTED_VALUE"""),"No salary data")</f>
        <v>No salary data</v>
      </c>
      <c r="H1410" s="7" t="str">
        <f>IFERROR(__xludf.DUMMYFUNCTION("""COMPUTED_VALUE"""),"No salary data")</f>
        <v>No salary data</v>
      </c>
      <c r="I1410" s="7" t="str">
        <f>IFERROR(__xludf.DUMMYFUNCTION("""COMPUTED_VALUE"""),"No salary data")</f>
        <v>No salary data</v>
      </c>
      <c r="J1410" s="7" t="str">
        <f>IFERROR(__xludf.DUMMYFUNCTION("""COMPUTED_VALUE"""),"Git, Kanban")</f>
        <v>Git, Kanban</v>
      </c>
      <c r="K1410" s="7" t="str">
        <f>IFERROR(__xludf.DUMMYFUNCTION("""COMPUTED_VALUE"""),"No job type data")</f>
        <v>No job type data</v>
      </c>
      <c r="L1410" s="7" t="str">
        <f>IFERROR(__xludf.DUMMYFUNCTION("""COMPUTED_VALUE"""),"4,0")</f>
        <v>4,0</v>
      </c>
      <c r="M1410" s="7"/>
      <c r="N1410" s="7"/>
      <c r="O1410" s="7"/>
    </row>
    <row r="1411">
      <c r="A1411" s="29">
        <f>IFERROR(__xludf.DUMMYFUNCTION("""COMPUTED_VALUE"""),1407.0)</f>
        <v>1407</v>
      </c>
      <c r="B1411" s="7" t="str">
        <f>IFERROR(__xludf.DUMMYFUNCTION("""COMPUTED_VALUE"""),"vor 7 Tagen")</f>
        <v>vor 7 Tagen</v>
      </c>
      <c r="C1411" s="7" t="str">
        <f>IFERROR(__xludf.DUMMYFUNCTION("""COMPUTED_VALUE"""),"Für Freelancer: Produktmanager Data Management")</f>
        <v>Für Freelancer: Produktmanager Data Management</v>
      </c>
      <c r="D1411" s="7" t="str">
        <f>IFERROR(__xludf.DUMMYFUNCTION("""COMPUTED_VALUE"""),"Hamburg")</f>
        <v>Hamburg</v>
      </c>
      <c r="E1411" s="7" t="str">
        <f>IFERROR(__xludf.DUMMYFUNCTION("""COMPUTED_VALUE"""),"None")</f>
        <v>None</v>
      </c>
      <c r="F1411" s="7" t="str">
        <f>IFERROR(__xludf.DUMMYFUNCTION("""COMPUTED_VALUE"""),"None")</f>
        <v>None</v>
      </c>
      <c r="G1411" s="7" t="str">
        <f>IFERROR(__xludf.DUMMYFUNCTION("""COMPUTED_VALUE"""),"No salary data")</f>
        <v>No salary data</v>
      </c>
      <c r="H1411" s="7" t="str">
        <f>IFERROR(__xludf.DUMMYFUNCTION("""COMPUTED_VALUE"""),"No salary data")</f>
        <v>No salary data</v>
      </c>
      <c r="I1411" s="7" t="str">
        <f>IFERROR(__xludf.DUMMYFUNCTION("""COMPUTED_VALUE"""),"No salary data")</f>
        <v>No salary data</v>
      </c>
      <c r="J1411" s="7" t="str">
        <f>IFERROR(__xludf.DUMMYFUNCTION("""COMPUTED_VALUE"""),"Agile")</f>
        <v>Agile</v>
      </c>
      <c r="K1411" s="7" t="str">
        <f>IFERROR(__xludf.DUMMYFUNCTION("""COMPUTED_VALUE"""),"No job type data")</f>
        <v>No job type data</v>
      </c>
      <c r="L1411" s="7" t="str">
        <f>IFERROR(__xludf.DUMMYFUNCTION("""COMPUTED_VALUE"""),"None")</f>
        <v>None</v>
      </c>
      <c r="M1411" s="7"/>
      <c r="N1411" s="7"/>
      <c r="O1411" s="7"/>
    </row>
    <row r="1412">
      <c r="A1412" s="29">
        <f>IFERROR(__xludf.DUMMYFUNCTION("""COMPUTED_VALUE"""),1408.0)</f>
        <v>1408</v>
      </c>
      <c r="B1412" s="7" t="str">
        <f>IFERROR(__xludf.DUMMYFUNCTION("""COMPUTED_VALUE"""),"Vor mehr als 30 Tagen")</f>
        <v>Vor mehr als 30 Tagen</v>
      </c>
      <c r="C1412" s="7" t="str">
        <f>IFERROR(__xludf.DUMMYFUNCTION("""COMPUTED_VALUE"""),"Für Freelancer: Python Developer")</f>
        <v>Für Freelancer: Python Developer</v>
      </c>
      <c r="D1412" s="7" t="str">
        <f>IFERROR(__xludf.DUMMYFUNCTION("""COMPUTED_VALUE"""),"Berlin")</f>
        <v>Berlin</v>
      </c>
      <c r="E1412" s="7" t="str">
        <f>IFERROR(__xludf.DUMMYFUNCTION("""COMPUTED_VALUE"""),"None")</f>
        <v>None</v>
      </c>
      <c r="F1412" s="7" t="str">
        <f>IFERROR(__xludf.DUMMYFUNCTION("""COMPUTED_VALUE"""),"None")</f>
        <v>None</v>
      </c>
      <c r="G1412" s="7" t="str">
        <f>IFERROR(__xludf.DUMMYFUNCTION("""COMPUTED_VALUE"""),"No salary data")</f>
        <v>No salary data</v>
      </c>
      <c r="H1412" s="7" t="str">
        <f>IFERROR(__xludf.DUMMYFUNCTION("""COMPUTED_VALUE"""),"No salary data")</f>
        <v>No salary data</v>
      </c>
      <c r="I1412" s="7" t="str">
        <f>IFERROR(__xludf.DUMMYFUNCTION("""COMPUTED_VALUE"""),"No salary data")</f>
        <v>No salary data</v>
      </c>
      <c r="J1412" s="7" t="str">
        <f>IFERROR(__xludf.DUMMYFUNCTION("""COMPUTED_VALUE"""),"Python")</f>
        <v>Python</v>
      </c>
      <c r="K1412" s="7" t="str">
        <f>IFERROR(__xludf.DUMMYFUNCTION("""COMPUTED_VALUE"""),"Contract")</f>
        <v>Contract</v>
      </c>
      <c r="L1412" s="7" t="str">
        <f>IFERROR(__xludf.DUMMYFUNCTION("""COMPUTED_VALUE"""),"None")</f>
        <v>None</v>
      </c>
      <c r="M1412" s="7"/>
      <c r="N1412" s="7"/>
      <c r="O1412" s="7"/>
    </row>
    <row r="1413">
      <c r="A1413" s="29">
        <f>IFERROR(__xludf.DUMMYFUNCTION("""COMPUTED_VALUE"""),1409.0)</f>
        <v>1409</v>
      </c>
      <c r="B1413" s="7" t="str">
        <f>IFERROR(__xludf.DUMMYFUNCTION("""COMPUTED_VALUE"""),"Vor mehr als 30 Tagen")</f>
        <v>Vor mehr als 30 Tagen</v>
      </c>
      <c r="C1413" s="7" t="str">
        <f>IFERROR(__xludf.DUMMYFUNCTION("""COMPUTED_VALUE"""),"Für Freelancer: Softwareentwicklung im Bereich Big Data")</f>
        <v>Für Freelancer: Softwareentwicklung im Bereich Big Data</v>
      </c>
      <c r="D1413" s="7" t="str">
        <f>IFERROR(__xludf.DUMMYFUNCTION("""COMPUTED_VALUE"""),"Elberfeld")</f>
        <v>Elberfeld</v>
      </c>
      <c r="E1413" s="7" t="str">
        <f>IFERROR(__xludf.DUMMYFUNCTION("""COMPUTED_VALUE"""),"None")</f>
        <v>None</v>
      </c>
      <c r="F1413" s="7" t="str">
        <f>IFERROR(__xludf.DUMMYFUNCTION("""COMPUTED_VALUE"""),"None")</f>
        <v>None</v>
      </c>
      <c r="G1413" s="7" t="str">
        <f>IFERROR(__xludf.DUMMYFUNCTION("""COMPUTED_VALUE"""),"No salary data")</f>
        <v>No salary data</v>
      </c>
      <c r="H1413" s="7" t="str">
        <f>IFERROR(__xludf.DUMMYFUNCTION("""COMPUTED_VALUE"""),"No salary data")</f>
        <v>No salary data</v>
      </c>
      <c r="I1413" s="7" t="str">
        <f>IFERROR(__xludf.DUMMYFUNCTION("""COMPUTED_VALUE"""),"No salary data")</f>
        <v>No salary data</v>
      </c>
      <c r="J1413" s="7" t="str">
        <f>IFERROR(__xludf.DUMMYFUNCTION("""COMPUTED_VALUE"""),"SQL")</f>
        <v>SQL</v>
      </c>
      <c r="K1413" s="7" t="str">
        <f>IFERROR(__xludf.DUMMYFUNCTION("""COMPUTED_VALUE"""),"No job type data")</f>
        <v>No job type data</v>
      </c>
      <c r="L1413" s="7" t="str">
        <f>IFERROR(__xludf.DUMMYFUNCTION("""COMPUTED_VALUE"""),"None")</f>
        <v>None</v>
      </c>
      <c r="M1413" s="7"/>
      <c r="N1413" s="7"/>
      <c r="O1413" s="7"/>
    </row>
    <row r="1414">
      <c r="A1414" s="29">
        <f>IFERROR(__xludf.DUMMYFUNCTION("""COMPUTED_VALUE"""),1410.0)</f>
        <v>1410</v>
      </c>
      <c r="B1414" s="7" t="str">
        <f>IFERROR(__xludf.DUMMYFUNCTION("""COMPUTED_VALUE"""),"Vor mehr als 30 Tagen")</f>
        <v>Vor mehr als 30 Tagen</v>
      </c>
      <c r="C1414" s="7" t="str">
        <f>IFERROR(__xludf.DUMMYFUNCTION("""COMPUTED_VALUE"""),"Bootcamp Pflichtpraktikant (m/w/d) Softwareentwicklung")</f>
        <v>Bootcamp Pflichtpraktikant (m/w/d) Softwareentwicklung</v>
      </c>
      <c r="D1414" s="7" t="str">
        <f>IFERROR(__xludf.DUMMYFUNCTION("""COMPUTED_VALUE"""),"München")</f>
        <v>München</v>
      </c>
      <c r="E1414" s="7" t="str">
        <f>IFERROR(__xludf.DUMMYFUNCTION("""COMPUTED_VALUE"""),"Interone GmbH")</f>
        <v>Interone GmbH</v>
      </c>
      <c r="F1414" s="7" t="str">
        <f>IFERROR(__xludf.DUMMYFUNCTION("""COMPUTED_VALUE"""),"None")</f>
        <v>None</v>
      </c>
      <c r="G1414" s="7" t="str">
        <f>IFERROR(__xludf.DUMMYFUNCTION("""COMPUTED_VALUE"""),"No salary data")</f>
        <v>No salary data</v>
      </c>
      <c r="H1414" s="7" t="str">
        <f>IFERROR(__xludf.DUMMYFUNCTION("""COMPUTED_VALUE"""),"No salary data")</f>
        <v>No salary data</v>
      </c>
      <c r="I1414" s="7" t="str">
        <f>IFERROR(__xludf.DUMMYFUNCTION("""COMPUTED_VALUE"""),"No salary data")</f>
        <v>No salary data</v>
      </c>
      <c r="J1414" s="7" t="str">
        <f>IFERROR(__xludf.DUMMYFUNCTION("""COMPUTED_VALUE"""),"Git, Kanban")</f>
        <v>Git, Kanban</v>
      </c>
      <c r="K1414" s="7" t="str">
        <f>IFERROR(__xludf.DUMMYFUNCTION("""COMPUTED_VALUE"""),"No job type data")</f>
        <v>No job type data</v>
      </c>
      <c r="L1414" s="7" t="str">
        <f>IFERROR(__xludf.DUMMYFUNCTION("""COMPUTED_VALUE"""),"4,0")</f>
        <v>4,0</v>
      </c>
      <c r="M1414" s="7"/>
      <c r="N1414" s="7"/>
      <c r="O1414" s="7"/>
    </row>
    <row r="1415">
      <c r="A1415" s="29">
        <f>IFERROR(__xludf.DUMMYFUNCTION("""COMPUTED_VALUE"""),1411.0)</f>
        <v>1411</v>
      </c>
      <c r="B1415" s="7" t="str">
        <f>IFERROR(__xludf.DUMMYFUNCTION("""COMPUTED_VALUE"""),"vor 14 Tagen")</f>
        <v>vor 14 Tagen</v>
      </c>
      <c r="C1415" s="7" t="str">
        <f>IFERROR(__xludf.DUMMYFUNCTION("""COMPUTED_VALUE"""),"Für Freelancer: Freiberuflicher BI-Entwickler (m/w/d) in Mün...")</f>
        <v>Für Freelancer: Freiberuflicher BI-Entwickler (m/w/d) in Mün...</v>
      </c>
      <c r="D1415" s="7" t="str">
        <f>IFERROR(__xludf.DUMMYFUNCTION("""COMPUTED_VALUE"""),"München")</f>
        <v>München</v>
      </c>
      <c r="E1415" s="7" t="str">
        <f>IFERROR(__xludf.DUMMYFUNCTION("""COMPUTED_VALUE"""),"None")</f>
        <v>None</v>
      </c>
      <c r="F1415" s="7" t="str">
        <f>IFERROR(__xludf.DUMMYFUNCTION("""COMPUTED_VALUE"""),"None")</f>
        <v>None</v>
      </c>
      <c r="G1415" s="7" t="str">
        <f>IFERROR(__xludf.DUMMYFUNCTION("""COMPUTED_VALUE"""),"No salary data")</f>
        <v>No salary data</v>
      </c>
      <c r="H1415" s="7" t="str">
        <f>IFERROR(__xludf.DUMMYFUNCTION("""COMPUTED_VALUE"""),"No salary data")</f>
        <v>No salary data</v>
      </c>
      <c r="I1415" s="7" t="str">
        <f>IFERROR(__xludf.DUMMYFUNCTION("""COMPUTED_VALUE"""),"No salary data")</f>
        <v>No salary data</v>
      </c>
      <c r="J1415" s="7" t="str">
        <f>IFERROR(__xludf.DUMMYFUNCTION("""COMPUTED_VALUE"""),"Tableau")</f>
        <v>Tableau</v>
      </c>
      <c r="K1415" s="7" t="str">
        <f>IFERROR(__xludf.DUMMYFUNCTION("""COMPUTED_VALUE"""),"No job type data")</f>
        <v>No job type data</v>
      </c>
      <c r="L1415" s="7" t="str">
        <f>IFERROR(__xludf.DUMMYFUNCTION("""COMPUTED_VALUE"""),"None")</f>
        <v>None</v>
      </c>
      <c r="M1415" s="7"/>
      <c r="N1415" s="7"/>
      <c r="O1415" s="7"/>
    </row>
    <row r="1416">
      <c r="A1416" s="29">
        <f>IFERROR(__xludf.DUMMYFUNCTION("""COMPUTED_VALUE"""),1412.0)</f>
        <v>1412</v>
      </c>
      <c r="B1416" s="7" t="str">
        <f>IFERROR(__xludf.DUMMYFUNCTION("""COMPUTED_VALUE"""),"Vor mehr als 30 Tagen")</f>
        <v>Vor mehr als 30 Tagen</v>
      </c>
      <c r="C1416" s="7" t="str">
        <f>IFERROR(__xludf.DUMMYFUNCTION("""COMPUTED_VALUE"""),"Für Freelancer: Data Management")</f>
        <v>Für Freelancer: Data Management</v>
      </c>
      <c r="D1416" s="7" t="str">
        <f>IFERROR(__xludf.DUMMYFUNCTION("""COMPUTED_VALUE"""),"Elberfeld")</f>
        <v>Elberfeld</v>
      </c>
      <c r="E1416" s="7" t="str">
        <f>IFERROR(__xludf.DUMMYFUNCTION("""COMPUTED_VALUE"""),"None")</f>
        <v>None</v>
      </c>
      <c r="F1416" s="7" t="str">
        <f>IFERROR(__xludf.DUMMYFUNCTION("""COMPUTED_VALUE"""),"None")</f>
        <v>None</v>
      </c>
      <c r="G1416" s="7" t="str">
        <f>IFERROR(__xludf.DUMMYFUNCTION("""COMPUTED_VALUE"""),"No salary data")</f>
        <v>No salary data</v>
      </c>
      <c r="H1416" s="7" t="str">
        <f>IFERROR(__xludf.DUMMYFUNCTION("""COMPUTED_VALUE"""),"No salary data")</f>
        <v>No salary data</v>
      </c>
      <c r="I1416" s="7" t="str">
        <f>IFERROR(__xludf.DUMMYFUNCTION("""COMPUTED_VALUE"""),"No salary data")</f>
        <v>No salary data</v>
      </c>
      <c r="J1416" s="7" t="str">
        <f>IFERROR(__xludf.DUMMYFUNCTION("""COMPUTED_VALUE"""),"Excel")</f>
        <v>Excel</v>
      </c>
      <c r="K1416" s="7" t="str">
        <f>IFERROR(__xludf.DUMMYFUNCTION("""COMPUTED_VALUE"""),"No job type data")</f>
        <v>No job type data</v>
      </c>
      <c r="L1416" s="7" t="str">
        <f>IFERROR(__xludf.DUMMYFUNCTION("""COMPUTED_VALUE"""),"None")</f>
        <v>None</v>
      </c>
      <c r="M1416" s="7"/>
      <c r="N1416" s="7"/>
      <c r="O1416" s="7"/>
    </row>
    <row r="1417">
      <c r="A1417" s="29">
        <f>IFERROR(__xludf.DUMMYFUNCTION("""COMPUTED_VALUE"""),1413.0)</f>
        <v>1413</v>
      </c>
      <c r="B1417" s="7" t="str">
        <f>IFERROR(__xludf.DUMMYFUNCTION("""COMPUTED_VALUE"""),"Vor mehr als 30 Tagen")</f>
        <v>Vor mehr als 30 Tagen</v>
      </c>
      <c r="C1417" s="7" t="str">
        <f>IFERROR(__xludf.DUMMYFUNCTION("""COMPUTED_VALUE"""),"Bootcamp Pflichtpraktikant (m/w/d) Softwareentwicklung")</f>
        <v>Bootcamp Pflichtpraktikant (m/w/d) Softwareentwicklung</v>
      </c>
      <c r="D1417" s="7" t="str">
        <f>IFERROR(__xludf.DUMMYFUNCTION("""COMPUTED_VALUE"""),"München")</f>
        <v>München</v>
      </c>
      <c r="E1417" s="7" t="str">
        <f>IFERROR(__xludf.DUMMYFUNCTION("""COMPUTED_VALUE"""),"Interone GmbH")</f>
        <v>Interone GmbH</v>
      </c>
      <c r="F1417" s="7" t="str">
        <f>IFERROR(__xludf.DUMMYFUNCTION("""COMPUTED_VALUE"""),"None")</f>
        <v>None</v>
      </c>
      <c r="G1417" s="7" t="str">
        <f>IFERROR(__xludf.DUMMYFUNCTION("""COMPUTED_VALUE"""),"No salary data")</f>
        <v>No salary data</v>
      </c>
      <c r="H1417" s="7" t="str">
        <f>IFERROR(__xludf.DUMMYFUNCTION("""COMPUTED_VALUE"""),"No salary data")</f>
        <v>No salary data</v>
      </c>
      <c r="I1417" s="7" t="str">
        <f>IFERROR(__xludf.DUMMYFUNCTION("""COMPUTED_VALUE"""),"No salary data")</f>
        <v>No salary data</v>
      </c>
      <c r="J1417" s="7" t="str">
        <f>IFERROR(__xludf.DUMMYFUNCTION("""COMPUTED_VALUE"""),"Git, Kanban")</f>
        <v>Git, Kanban</v>
      </c>
      <c r="K1417" s="7" t="str">
        <f>IFERROR(__xludf.DUMMYFUNCTION("""COMPUTED_VALUE"""),"No job type data")</f>
        <v>No job type data</v>
      </c>
      <c r="L1417" s="7" t="str">
        <f>IFERROR(__xludf.DUMMYFUNCTION("""COMPUTED_VALUE"""),"4,0")</f>
        <v>4,0</v>
      </c>
      <c r="M1417" s="7"/>
      <c r="N1417" s="7"/>
      <c r="O1417" s="7"/>
    </row>
    <row r="1418">
      <c r="A1418" s="29">
        <f>IFERROR(__xludf.DUMMYFUNCTION("""COMPUTED_VALUE"""),1414.0)</f>
        <v>1414</v>
      </c>
      <c r="B1418" s="7" t="str">
        <f>IFERROR(__xludf.DUMMYFUNCTION("""COMPUTED_VALUE"""),"vor 18 Tagen")</f>
        <v>vor 18 Tagen</v>
      </c>
      <c r="C1418" s="7" t="str">
        <f>IFERROR(__xludf.DUMMYFUNCTION("""COMPUTED_VALUE"""),"Für Freelancer: Test Management Automation")</f>
        <v>Für Freelancer: Test Management Automation</v>
      </c>
      <c r="D1418" s="7" t="str">
        <f>IFERROR(__xludf.DUMMYFUNCTION("""COMPUTED_VALUE"""),"Köln")</f>
        <v>Köln</v>
      </c>
      <c r="E1418" s="7" t="str">
        <f>IFERROR(__xludf.DUMMYFUNCTION("""COMPUTED_VALUE"""),"None")</f>
        <v>None</v>
      </c>
      <c r="F1418" s="7" t="str">
        <f>IFERROR(__xludf.DUMMYFUNCTION("""COMPUTED_VALUE"""),"None")</f>
        <v>None</v>
      </c>
      <c r="G1418" s="7" t="str">
        <f>IFERROR(__xludf.DUMMYFUNCTION("""COMPUTED_VALUE"""),"No salary data")</f>
        <v>No salary data</v>
      </c>
      <c r="H1418" s="7" t="str">
        <f>IFERROR(__xludf.DUMMYFUNCTION("""COMPUTED_VALUE"""),"No salary data")</f>
        <v>No salary data</v>
      </c>
      <c r="I1418" s="7" t="str">
        <f>IFERROR(__xludf.DUMMYFUNCTION("""COMPUTED_VALUE"""),"No salary data")</f>
        <v>No salary data</v>
      </c>
      <c r="J1418" s="7"/>
      <c r="K1418" s="7" t="str">
        <f>IFERROR(__xludf.DUMMYFUNCTION("""COMPUTED_VALUE"""),"No job type data")</f>
        <v>No job type data</v>
      </c>
      <c r="L1418" s="7" t="str">
        <f>IFERROR(__xludf.DUMMYFUNCTION("""COMPUTED_VALUE"""),"None")</f>
        <v>None</v>
      </c>
      <c r="M1418" s="7"/>
      <c r="N1418" s="7"/>
      <c r="O1418" s="7"/>
    </row>
    <row r="1419">
      <c r="A1419" s="29">
        <f>IFERROR(__xludf.DUMMYFUNCTION("""COMPUTED_VALUE"""),1415.0)</f>
        <v>1415</v>
      </c>
      <c r="B1419" s="7" t="str">
        <f>IFERROR(__xludf.DUMMYFUNCTION("""COMPUTED_VALUE"""),"vor 19 Tagen")</f>
        <v>vor 19 Tagen</v>
      </c>
      <c r="C1419" s="7" t="str">
        <f>IFERROR(__xludf.DUMMYFUNCTION("""COMPUTED_VALUE"""),"Für Freelancer: Testmanager mit Banken Erfahrung")</f>
        <v>Für Freelancer: Testmanager mit Banken Erfahrung</v>
      </c>
      <c r="D1419" s="7" t="str">
        <f>IFERROR(__xludf.DUMMYFUNCTION("""COMPUTED_VALUE"""),"Nordrhein-Westfalen")</f>
        <v>Nordrhein-Westfalen</v>
      </c>
      <c r="E1419" s="7" t="str">
        <f>IFERROR(__xludf.DUMMYFUNCTION("""COMPUTED_VALUE"""),"None")</f>
        <v>None</v>
      </c>
      <c r="F1419" s="7" t="str">
        <f>IFERROR(__xludf.DUMMYFUNCTION("""COMPUTED_VALUE"""),"None")</f>
        <v>None</v>
      </c>
      <c r="G1419" s="7" t="str">
        <f>IFERROR(__xludf.DUMMYFUNCTION("""COMPUTED_VALUE"""),"No salary data")</f>
        <v>No salary data</v>
      </c>
      <c r="H1419" s="7" t="str">
        <f>IFERROR(__xludf.DUMMYFUNCTION("""COMPUTED_VALUE"""),"No salary data")</f>
        <v>No salary data</v>
      </c>
      <c r="I1419" s="7" t="str">
        <f>IFERROR(__xludf.DUMMYFUNCTION("""COMPUTED_VALUE"""),"No salary data")</f>
        <v>No salary data</v>
      </c>
      <c r="J1419" s="7"/>
      <c r="K1419" s="7" t="str">
        <f>IFERROR(__xludf.DUMMYFUNCTION("""COMPUTED_VALUE"""),"No job type data")</f>
        <v>No job type data</v>
      </c>
      <c r="L1419" s="7" t="str">
        <f>IFERROR(__xludf.DUMMYFUNCTION("""COMPUTED_VALUE"""),"None")</f>
        <v>None</v>
      </c>
      <c r="M1419" s="7"/>
      <c r="N1419" s="7"/>
      <c r="O1419" s="7"/>
    </row>
    <row r="1420">
      <c r="A1420" s="29">
        <f>IFERROR(__xludf.DUMMYFUNCTION("""COMPUTED_VALUE"""),1416.0)</f>
        <v>1416</v>
      </c>
      <c r="B1420" s="7" t="str">
        <f>IFERROR(__xludf.DUMMYFUNCTION("""COMPUTED_VALUE"""),"Vor mehr als 30 Tagen")</f>
        <v>Vor mehr als 30 Tagen</v>
      </c>
      <c r="C1420" s="7" t="str">
        <f>IFERROR(__xludf.DUMMYFUNCTION("""COMPUTED_VALUE"""),"Für Freelancer: Python Developer - Freelance/Contractor - Re...")</f>
        <v>Für Freelancer: Python Developer - Freelance/Contractor - Re...</v>
      </c>
      <c r="D1420" s="7" t="str">
        <f>IFERROR(__xludf.DUMMYFUNCTION("""COMPUTED_VALUE"""),"Berlin")</f>
        <v>Berlin</v>
      </c>
      <c r="E1420" s="7" t="str">
        <f>IFERROR(__xludf.DUMMYFUNCTION("""COMPUTED_VALUE"""),"None")</f>
        <v>None</v>
      </c>
      <c r="F1420" s="7" t="str">
        <f>IFERROR(__xludf.DUMMYFUNCTION("""COMPUTED_VALUE"""),"None")</f>
        <v>None</v>
      </c>
      <c r="G1420" s="7" t="str">
        <f>IFERROR(__xludf.DUMMYFUNCTION("""COMPUTED_VALUE"""),"No salary data")</f>
        <v>No salary data</v>
      </c>
      <c r="H1420" s="7" t="str">
        <f>IFERROR(__xludf.DUMMYFUNCTION("""COMPUTED_VALUE"""),"No salary data")</f>
        <v>No salary data</v>
      </c>
      <c r="I1420" s="7" t="str">
        <f>IFERROR(__xludf.DUMMYFUNCTION("""COMPUTED_VALUE"""),"No salary data")</f>
        <v>No salary data</v>
      </c>
      <c r="J1420" s="7" t="str">
        <f>IFERROR(__xludf.DUMMYFUNCTION("""COMPUTED_VALUE"""),"Python")</f>
        <v>Python</v>
      </c>
      <c r="K1420" s="7" t="str">
        <f>IFERROR(__xludf.DUMMYFUNCTION("""COMPUTED_VALUE"""),"No job type data")</f>
        <v>No job type data</v>
      </c>
      <c r="L1420" s="7" t="str">
        <f>IFERROR(__xludf.DUMMYFUNCTION("""COMPUTED_VALUE"""),"None")</f>
        <v>None</v>
      </c>
      <c r="M1420" s="7"/>
      <c r="N1420" s="7"/>
      <c r="O1420" s="7"/>
    </row>
    <row r="1421">
      <c r="A1421" s="29">
        <f>IFERROR(__xludf.DUMMYFUNCTION("""COMPUTED_VALUE"""),1417.0)</f>
        <v>1417</v>
      </c>
      <c r="B1421" s="7" t="str">
        <f>IFERROR(__xludf.DUMMYFUNCTION("""COMPUTED_VALUE"""),"vor 4 Tagen")</f>
        <v>vor 4 Tagen</v>
      </c>
      <c r="C1421" s="7" t="str">
        <f>IFERROR(__xludf.DUMMYFUNCTION("""COMPUTED_VALUE"""),"Für Freelancer: Project Manager SCRUM (m/w/d)")</f>
        <v>Für Freelancer: Project Manager SCRUM (m/w/d)</v>
      </c>
      <c r="D1421" s="7" t="str">
        <f>IFERROR(__xludf.DUMMYFUNCTION("""COMPUTED_VALUE"""),"Home Office")</f>
        <v>Home Office</v>
      </c>
      <c r="E1421" s="7" t="str">
        <f>IFERROR(__xludf.DUMMYFUNCTION("""COMPUTED_VALUE"""),"None")</f>
        <v>None</v>
      </c>
      <c r="F1421" s="7" t="str">
        <f>IFERROR(__xludf.DUMMYFUNCTION("""COMPUTED_VALUE"""),"None")</f>
        <v>None</v>
      </c>
      <c r="G1421" s="7" t="str">
        <f>IFERROR(__xludf.DUMMYFUNCTION("""COMPUTED_VALUE"""),"No salary data")</f>
        <v>No salary data</v>
      </c>
      <c r="H1421" s="7" t="str">
        <f>IFERROR(__xludf.DUMMYFUNCTION("""COMPUTED_VALUE"""),"No salary data")</f>
        <v>No salary data</v>
      </c>
      <c r="I1421" s="7" t="str">
        <f>IFERROR(__xludf.DUMMYFUNCTION("""COMPUTED_VALUE"""),"No salary data")</f>
        <v>No salary data</v>
      </c>
      <c r="J1421" s="7" t="str">
        <f>IFERROR(__xludf.DUMMYFUNCTION("""COMPUTED_VALUE"""),"Agile, Scrum")</f>
        <v>Agile, Scrum</v>
      </c>
      <c r="K1421" s="7" t="str">
        <f>IFERROR(__xludf.DUMMYFUNCTION("""COMPUTED_VALUE"""),"Contract")</f>
        <v>Contract</v>
      </c>
      <c r="L1421" s="7" t="str">
        <f>IFERROR(__xludf.DUMMYFUNCTION("""COMPUTED_VALUE"""),"None")</f>
        <v>None</v>
      </c>
      <c r="M1421" s="7"/>
      <c r="N1421" s="7"/>
      <c r="O1421" s="7"/>
    </row>
    <row r="1422">
      <c r="A1422" s="29">
        <f>IFERROR(__xludf.DUMMYFUNCTION("""COMPUTED_VALUE"""),1418.0)</f>
        <v>1418</v>
      </c>
      <c r="B1422" s="7" t="str">
        <f>IFERROR(__xludf.DUMMYFUNCTION("""COMPUTED_VALUE"""),"Vor mehr als 30 Tagen")</f>
        <v>Vor mehr als 30 Tagen</v>
      </c>
      <c r="C1422" s="7" t="str">
        <f>IFERROR(__xludf.DUMMYFUNCTION("""COMPUTED_VALUE"""),"Für Freelancer: Projekt: Oracle DWH Entwicklung in Hamburg")</f>
        <v>Für Freelancer: Projekt: Oracle DWH Entwicklung in Hamburg</v>
      </c>
      <c r="D1422" s="7" t="str">
        <f>IFERROR(__xludf.DUMMYFUNCTION("""COMPUTED_VALUE"""),"Hamburg")</f>
        <v>Hamburg</v>
      </c>
      <c r="E1422" s="7" t="str">
        <f>IFERROR(__xludf.DUMMYFUNCTION("""COMPUTED_VALUE"""),"None")</f>
        <v>None</v>
      </c>
      <c r="F1422" s="7" t="str">
        <f>IFERROR(__xludf.DUMMYFUNCTION("""COMPUTED_VALUE"""),"None")</f>
        <v>None</v>
      </c>
      <c r="G1422" s="7" t="str">
        <f>IFERROR(__xludf.DUMMYFUNCTION("""COMPUTED_VALUE"""),"No salary data")</f>
        <v>No salary data</v>
      </c>
      <c r="H1422" s="7" t="str">
        <f>IFERROR(__xludf.DUMMYFUNCTION("""COMPUTED_VALUE"""),"No salary data")</f>
        <v>No salary data</v>
      </c>
      <c r="I1422" s="7" t="str">
        <f>IFERROR(__xludf.DUMMYFUNCTION("""COMPUTED_VALUE"""),"No salary data")</f>
        <v>No salary data</v>
      </c>
      <c r="J1422" s="7"/>
      <c r="K1422" s="7" t="str">
        <f>IFERROR(__xludf.DUMMYFUNCTION("""COMPUTED_VALUE"""),"No job type data")</f>
        <v>No job type data</v>
      </c>
      <c r="L1422" s="7" t="str">
        <f>IFERROR(__xludf.DUMMYFUNCTION("""COMPUTED_VALUE"""),"None")</f>
        <v>None</v>
      </c>
      <c r="M1422" s="7"/>
      <c r="N1422" s="7"/>
      <c r="O1422" s="7"/>
    </row>
    <row r="1423">
      <c r="A1423" s="29">
        <f>IFERROR(__xludf.DUMMYFUNCTION("""COMPUTED_VALUE"""),1419.0)</f>
        <v>1419</v>
      </c>
      <c r="B1423" s="7" t="str">
        <f>IFERROR(__xludf.DUMMYFUNCTION("""COMPUTED_VALUE"""),"vor 19 Tagen")</f>
        <v>vor 19 Tagen</v>
      </c>
      <c r="C1423" s="7" t="str">
        <f>IFERROR(__xludf.DUMMYFUNCTION("""COMPUTED_VALUE"""),"Junior Consultant")</f>
        <v>Junior Consultant</v>
      </c>
      <c r="D1423" s="7" t="str">
        <f>IFERROR(__xludf.DUMMYFUNCTION("""COMPUTED_VALUE"""),"Deutschland")</f>
        <v>Deutschland</v>
      </c>
      <c r="E1423" s="7" t="str">
        <f>IFERROR(__xludf.DUMMYFUNCTION("""COMPUTED_VALUE"""),"Cytel")</f>
        <v>Cytel</v>
      </c>
      <c r="F1423" s="7" t="str">
        <f>IFERROR(__xludf.DUMMYFUNCTION("""COMPUTED_VALUE"""),"None")</f>
        <v>None</v>
      </c>
      <c r="G1423" s="7" t="str">
        <f>IFERROR(__xludf.DUMMYFUNCTION("""COMPUTED_VALUE"""),"No salary data")</f>
        <v>No salary data</v>
      </c>
      <c r="H1423" s="7" t="str">
        <f>IFERROR(__xludf.DUMMYFUNCTION("""COMPUTED_VALUE"""),"No salary data")</f>
        <v>No salary data</v>
      </c>
      <c r="I1423" s="7" t="str">
        <f>IFERROR(__xludf.DUMMYFUNCTION("""COMPUTED_VALUE"""),"No salary data")</f>
        <v>No salary data</v>
      </c>
      <c r="J1423" s="7" t="str">
        <f>IFERROR(__xludf.DUMMYFUNCTION("""COMPUTED_VALUE"""),"Excel, Statistic")</f>
        <v>Excel, Statistic</v>
      </c>
      <c r="K1423" s="7" t="str">
        <f>IFERROR(__xludf.DUMMYFUNCTION("""COMPUTED_VALUE"""),"Contract")</f>
        <v>Contract</v>
      </c>
      <c r="L1423" s="7" t="str">
        <f>IFERROR(__xludf.DUMMYFUNCTION("""COMPUTED_VALUE"""),"None")</f>
        <v>None</v>
      </c>
      <c r="M1423" s="7"/>
      <c r="N1423" s="7"/>
      <c r="O1423" s="7"/>
    </row>
    <row r="1424">
      <c r="A1424" s="29">
        <f>IFERROR(__xludf.DUMMYFUNCTION("""COMPUTED_VALUE"""),1420.0)</f>
        <v>1420</v>
      </c>
      <c r="B1424" s="7" t="str">
        <f>IFERROR(__xludf.DUMMYFUNCTION("""COMPUTED_VALUE"""),"vor 3 Tagen")</f>
        <v>vor 3 Tagen</v>
      </c>
      <c r="C1424" s="7" t="str">
        <f>IFERROR(__xludf.DUMMYFUNCTION("""COMPUTED_VALUE"""),"Für Freelancer: EAI Solution Architekt (m/w/d) / Einführung...")</f>
        <v>Für Freelancer: EAI Solution Architekt (m/w/d) / Einführung...</v>
      </c>
      <c r="D1424" s="7" t="str">
        <f>IFERROR(__xludf.DUMMYFUNCTION("""COMPUTED_VALUE"""),"Erfurt")</f>
        <v>Erfurt</v>
      </c>
      <c r="E1424" s="7" t="str">
        <f>IFERROR(__xludf.DUMMYFUNCTION("""COMPUTED_VALUE"""),"None")</f>
        <v>None</v>
      </c>
      <c r="F1424" s="7" t="str">
        <f>IFERROR(__xludf.DUMMYFUNCTION("""COMPUTED_VALUE"""),"None")</f>
        <v>None</v>
      </c>
      <c r="G1424" s="7" t="str">
        <f>IFERROR(__xludf.DUMMYFUNCTION("""COMPUTED_VALUE"""),"No salary data")</f>
        <v>No salary data</v>
      </c>
      <c r="H1424" s="7" t="str">
        <f>IFERROR(__xludf.DUMMYFUNCTION("""COMPUTED_VALUE"""),"No salary data")</f>
        <v>No salary data</v>
      </c>
      <c r="I1424" s="7" t="str">
        <f>IFERROR(__xludf.DUMMYFUNCTION("""COMPUTED_VALUE"""),"No salary data")</f>
        <v>No salary data</v>
      </c>
      <c r="J1424" s="7" t="str">
        <f>IFERROR(__xludf.DUMMYFUNCTION("""COMPUTED_VALUE"""),"Agile")</f>
        <v>Agile</v>
      </c>
      <c r="K1424" s="7" t="str">
        <f>IFERROR(__xludf.DUMMYFUNCTION("""COMPUTED_VALUE"""),"No job type data")</f>
        <v>No job type data</v>
      </c>
      <c r="L1424" s="7" t="str">
        <f>IFERROR(__xludf.DUMMYFUNCTION("""COMPUTED_VALUE"""),"None")</f>
        <v>None</v>
      </c>
      <c r="M1424" s="7"/>
      <c r="N1424" s="7"/>
      <c r="O1424" s="7"/>
    </row>
    <row r="1425">
      <c r="A1425" s="29">
        <f>IFERROR(__xludf.DUMMYFUNCTION("""COMPUTED_VALUE"""),1421.0)</f>
        <v>1421</v>
      </c>
      <c r="B1425" s="7" t="str">
        <f>IFERROR(__xludf.DUMMYFUNCTION("""COMPUTED_VALUE"""),"Vor mehr als 30 Tagen")</f>
        <v>Vor mehr als 30 Tagen</v>
      </c>
      <c r="C1425" s="7" t="str">
        <f>IFERROR(__xludf.DUMMYFUNCTION("""COMPUTED_VALUE"""),"Für Freelancer: Interim Manager (m/w/d)- Immobilienfonds &amp; D...")</f>
        <v>Für Freelancer: Interim Manager (m/w/d)- Immobilienfonds &amp; D...</v>
      </c>
      <c r="D1425" s="7" t="str">
        <f>IFERROR(__xludf.DUMMYFUNCTION("""COMPUTED_VALUE"""),"Frankfurt am Main")</f>
        <v>Frankfurt am Main</v>
      </c>
      <c r="E1425" s="7" t="str">
        <f>IFERROR(__xludf.DUMMYFUNCTION("""COMPUTED_VALUE"""),"None")</f>
        <v>None</v>
      </c>
      <c r="F1425" s="7" t="str">
        <f>IFERROR(__xludf.DUMMYFUNCTION("""COMPUTED_VALUE"""),"None")</f>
        <v>None</v>
      </c>
      <c r="G1425" s="7" t="str">
        <f>IFERROR(__xludf.DUMMYFUNCTION("""COMPUTED_VALUE"""),"No salary data")</f>
        <v>No salary data</v>
      </c>
      <c r="H1425" s="7" t="str">
        <f>IFERROR(__xludf.DUMMYFUNCTION("""COMPUTED_VALUE"""),"No salary data")</f>
        <v>No salary data</v>
      </c>
      <c r="I1425" s="7" t="str">
        <f>IFERROR(__xludf.DUMMYFUNCTION("""COMPUTED_VALUE"""),"No salary data")</f>
        <v>No salary data</v>
      </c>
      <c r="J1425" s="7"/>
      <c r="K1425" s="7" t="str">
        <f>IFERROR(__xludf.DUMMYFUNCTION("""COMPUTED_VALUE"""),"No job type data")</f>
        <v>No job type data</v>
      </c>
      <c r="L1425" s="7" t="str">
        <f>IFERROR(__xludf.DUMMYFUNCTION("""COMPUTED_VALUE"""),"None")</f>
        <v>None</v>
      </c>
      <c r="M1425" s="7"/>
      <c r="N1425" s="7"/>
      <c r="O1425" s="7"/>
    </row>
    <row r="1426">
      <c r="A1426" s="29">
        <f>IFERROR(__xludf.DUMMYFUNCTION("""COMPUTED_VALUE"""),1422.0)</f>
        <v>1422</v>
      </c>
      <c r="B1426" s="7" t="str">
        <f>IFERROR(__xludf.DUMMYFUNCTION("""COMPUTED_VALUE"""),"Heute")</f>
        <v>Heute</v>
      </c>
      <c r="C1426" s="7" t="str">
        <f>IFERROR(__xludf.DUMMYFUNCTION("""COMPUTED_VALUE"""),"Für Freelancer: Azure DevOps / BI Spezialist (m/w/d)")</f>
        <v>Für Freelancer: Azure DevOps / BI Spezialist (m/w/d)</v>
      </c>
      <c r="D1426" s="7" t="str">
        <f>IFERROR(__xludf.DUMMYFUNCTION("""COMPUTED_VALUE"""),"Home Office")</f>
        <v>Home Office</v>
      </c>
      <c r="E1426" s="7" t="str">
        <f>IFERROR(__xludf.DUMMYFUNCTION("""COMPUTED_VALUE"""),"None")</f>
        <v>None</v>
      </c>
      <c r="F1426" s="7" t="str">
        <f>IFERROR(__xludf.DUMMYFUNCTION("""COMPUTED_VALUE"""),"None")</f>
        <v>None</v>
      </c>
      <c r="G1426" s="7" t="str">
        <f>IFERROR(__xludf.DUMMYFUNCTION("""COMPUTED_VALUE"""),"No salary data")</f>
        <v>No salary data</v>
      </c>
      <c r="H1426" s="7" t="str">
        <f>IFERROR(__xludf.DUMMYFUNCTION("""COMPUTED_VALUE"""),"No salary data")</f>
        <v>No salary data</v>
      </c>
      <c r="I1426" s="7" t="str">
        <f>IFERROR(__xludf.DUMMYFUNCTION("""COMPUTED_VALUE"""),"No salary data")</f>
        <v>No salary data</v>
      </c>
      <c r="J1426" s="7" t="str">
        <f>IFERROR(__xludf.DUMMYFUNCTION("""COMPUTED_VALUE"""),"Python, SQL")</f>
        <v>Python, SQL</v>
      </c>
      <c r="K1426" s="7" t="str">
        <f>IFERROR(__xludf.DUMMYFUNCTION("""COMPUTED_VALUE"""),"No job type data")</f>
        <v>No job type data</v>
      </c>
      <c r="L1426" s="7" t="str">
        <f>IFERROR(__xludf.DUMMYFUNCTION("""COMPUTED_VALUE"""),"None")</f>
        <v>None</v>
      </c>
      <c r="M1426" s="7"/>
      <c r="N1426" s="7"/>
      <c r="O1426" s="7"/>
    </row>
    <row r="1427">
      <c r="A1427" s="29">
        <f>IFERROR(__xludf.DUMMYFUNCTION("""COMPUTED_VALUE"""),1423.0)</f>
        <v>1423</v>
      </c>
      <c r="B1427" s="7" t="str">
        <f>IFERROR(__xludf.DUMMYFUNCTION("""COMPUTED_VALUE"""),"vor 20 Tagen")</f>
        <v>vor 20 Tagen</v>
      </c>
      <c r="C1427" s="7" t="str">
        <f>IFERROR(__xludf.DUMMYFUNCTION("""COMPUTED_VALUE"""),"Junior Consultant")</f>
        <v>Junior Consultant</v>
      </c>
      <c r="D1427" s="7" t="str">
        <f>IFERROR(__xludf.DUMMYFUNCTION("""COMPUTED_VALUE"""),"Deutschland")</f>
        <v>Deutschland</v>
      </c>
      <c r="E1427" s="7" t="str">
        <f>IFERROR(__xludf.DUMMYFUNCTION("""COMPUTED_VALUE"""),"Cytel")</f>
        <v>Cytel</v>
      </c>
      <c r="F1427" s="7" t="str">
        <f>IFERROR(__xludf.DUMMYFUNCTION("""COMPUTED_VALUE"""),"None")</f>
        <v>None</v>
      </c>
      <c r="G1427" s="7" t="str">
        <f>IFERROR(__xludf.DUMMYFUNCTION("""COMPUTED_VALUE"""),"No salary data")</f>
        <v>No salary data</v>
      </c>
      <c r="H1427" s="7" t="str">
        <f>IFERROR(__xludf.DUMMYFUNCTION("""COMPUTED_VALUE"""),"No salary data")</f>
        <v>No salary data</v>
      </c>
      <c r="I1427" s="7" t="str">
        <f>IFERROR(__xludf.DUMMYFUNCTION("""COMPUTED_VALUE"""),"No salary data")</f>
        <v>No salary data</v>
      </c>
      <c r="J1427" s="7" t="str">
        <f>IFERROR(__xludf.DUMMYFUNCTION("""COMPUTED_VALUE"""),"Excel, Statistic")</f>
        <v>Excel, Statistic</v>
      </c>
      <c r="K1427" s="7" t="str">
        <f>IFERROR(__xludf.DUMMYFUNCTION("""COMPUTED_VALUE"""),"Contract")</f>
        <v>Contract</v>
      </c>
      <c r="L1427" s="7" t="str">
        <f>IFERROR(__xludf.DUMMYFUNCTION("""COMPUTED_VALUE"""),"None")</f>
        <v>None</v>
      </c>
      <c r="M1427" s="7"/>
      <c r="N1427" s="7"/>
      <c r="O1427" s="7"/>
    </row>
    <row r="1428">
      <c r="A1428" s="29">
        <f>IFERROR(__xludf.DUMMYFUNCTION("""COMPUTED_VALUE"""),1424.0)</f>
        <v>1424</v>
      </c>
      <c r="B1428" s="7" t="str">
        <f>IFERROR(__xludf.DUMMYFUNCTION("""COMPUTED_VALUE"""),"Vor mehr als 30 Tagen")</f>
        <v>Vor mehr als 30 Tagen</v>
      </c>
      <c r="C1428" s="7" t="str">
        <f>IFERROR(__xludf.DUMMYFUNCTION("""COMPUTED_VALUE"""),"ERP-MITARBEITER/DATA-ANALYST (m/w/d)")</f>
        <v>ERP-MITARBEITER/DATA-ANALYST (m/w/d)</v>
      </c>
      <c r="D1428" s="7" t="str">
        <f>IFERROR(__xludf.DUMMYFUNCTION("""COMPUTED_VALUE"""),"Stuttgart")</f>
        <v>Stuttgart</v>
      </c>
      <c r="E1428" s="7" t="str">
        <f>IFERROR(__xludf.DUMMYFUNCTION("""COMPUTED_VALUE"""),"MEGA Das Fach-Zentrum für die Metzgerei und Gastronomie eG")</f>
        <v>MEGA Das Fach-Zentrum für die Metzgerei und Gastronomie eG</v>
      </c>
      <c r="F1428" s="7" t="str">
        <f>IFERROR(__xludf.DUMMYFUNCTION("""COMPUTED_VALUE"""),"None")</f>
        <v>None</v>
      </c>
      <c r="G1428" s="7" t="str">
        <f>IFERROR(__xludf.DUMMYFUNCTION("""COMPUTED_VALUE"""),"No salary data")</f>
        <v>No salary data</v>
      </c>
      <c r="H1428" s="7" t="str">
        <f>IFERROR(__xludf.DUMMYFUNCTION("""COMPUTED_VALUE"""),"No salary data")</f>
        <v>No salary data</v>
      </c>
      <c r="I1428" s="7" t="str">
        <f>IFERROR(__xludf.DUMMYFUNCTION("""COMPUTED_VALUE"""),"No salary data")</f>
        <v>No salary data</v>
      </c>
      <c r="J1428" s="7" t="str">
        <f>IFERROR(__xludf.DUMMYFUNCTION("""COMPUTED_VALUE"""),"SQL, Excel, Linux")</f>
        <v>SQL, Excel, Linux</v>
      </c>
      <c r="K1428" s="7" t="str">
        <f>IFERROR(__xludf.DUMMYFUNCTION("""COMPUTED_VALUE"""),"No job type data")</f>
        <v>No job type data</v>
      </c>
      <c r="L1428" s="7" t="str">
        <f>IFERROR(__xludf.DUMMYFUNCTION("""COMPUTED_VALUE"""),"None")</f>
        <v>None</v>
      </c>
      <c r="M1428" s="7"/>
      <c r="N1428" s="7"/>
      <c r="O1428" s="7"/>
    </row>
    <row r="1429">
      <c r="A1429" s="29">
        <f>IFERROR(__xludf.DUMMYFUNCTION("""COMPUTED_VALUE"""),1425.0)</f>
        <v>1425</v>
      </c>
      <c r="B1429" s="7" t="str">
        <f>IFERROR(__xludf.DUMMYFUNCTION("""COMPUTED_VALUE"""),"Vor mehr als 30 Tagen")</f>
        <v>Vor mehr als 30 Tagen</v>
      </c>
      <c r="C1429" s="7" t="str">
        <f>IFERROR(__xludf.DUMMYFUNCTION("""COMPUTED_VALUE"""),"Für Freelancer: SQL Server DBA")</f>
        <v>Für Freelancer: SQL Server DBA</v>
      </c>
      <c r="D1429" s="7" t="str">
        <f>IFERROR(__xludf.DUMMYFUNCTION("""COMPUTED_VALUE"""),"Hannover")</f>
        <v>Hannover</v>
      </c>
      <c r="E1429" s="7" t="str">
        <f>IFERROR(__xludf.DUMMYFUNCTION("""COMPUTED_VALUE"""),"None")</f>
        <v>None</v>
      </c>
      <c r="F1429" s="7" t="str">
        <f>IFERROR(__xludf.DUMMYFUNCTION("""COMPUTED_VALUE"""),"None")</f>
        <v>None</v>
      </c>
      <c r="G1429" s="7" t="str">
        <f>IFERROR(__xludf.DUMMYFUNCTION("""COMPUTED_VALUE"""),"No salary data")</f>
        <v>No salary data</v>
      </c>
      <c r="H1429" s="7" t="str">
        <f>IFERROR(__xludf.DUMMYFUNCTION("""COMPUTED_VALUE"""),"No salary data")</f>
        <v>No salary data</v>
      </c>
      <c r="I1429" s="7" t="str">
        <f>IFERROR(__xludf.DUMMYFUNCTION("""COMPUTED_VALUE"""),"No salary data")</f>
        <v>No salary data</v>
      </c>
      <c r="J1429" s="7" t="str">
        <f>IFERROR(__xludf.DUMMYFUNCTION("""COMPUTED_VALUE"""),"SQL")</f>
        <v>SQL</v>
      </c>
      <c r="K1429" s="7" t="str">
        <f>IFERROR(__xludf.DUMMYFUNCTION("""COMPUTED_VALUE"""),"No job type data")</f>
        <v>No job type data</v>
      </c>
      <c r="L1429" s="7" t="str">
        <f>IFERROR(__xludf.DUMMYFUNCTION("""COMPUTED_VALUE"""),"None")</f>
        <v>None</v>
      </c>
      <c r="M1429" s="7"/>
      <c r="N1429" s="7"/>
      <c r="O1429" s="7"/>
    </row>
    <row r="1430">
      <c r="A1430" s="29">
        <f>IFERROR(__xludf.DUMMYFUNCTION("""COMPUTED_VALUE"""),1426.0)</f>
        <v>1426</v>
      </c>
      <c r="B1430" s="7" t="str">
        <f>IFERROR(__xludf.DUMMYFUNCTION("""COMPUTED_VALUE"""),"Heute")</f>
        <v>Heute</v>
      </c>
      <c r="C1430" s="7" t="str">
        <f>IFERROR(__xludf.DUMMYFUNCTION("""COMPUTED_VALUE"""),"Für Freelancer: Interim IT Projekt Manager - Application Man...")</f>
        <v>Für Freelancer: Interim IT Projekt Manager - Application Man...</v>
      </c>
      <c r="D1430" s="7" t="str">
        <f>IFERROR(__xludf.DUMMYFUNCTION("""COMPUTED_VALUE"""),"Köln")</f>
        <v>Köln</v>
      </c>
      <c r="E1430" s="7" t="str">
        <f>IFERROR(__xludf.DUMMYFUNCTION("""COMPUTED_VALUE"""),"None")</f>
        <v>None</v>
      </c>
      <c r="F1430" s="7" t="str">
        <f>IFERROR(__xludf.DUMMYFUNCTION("""COMPUTED_VALUE"""),"None")</f>
        <v>None</v>
      </c>
      <c r="G1430" s="7" t="str">
        <f>IFERROR(__xludf.DUMMYFUNCTION("""COMPUTED_VALUE"""),"No salary data")</f>
        <v>No salary data</v>
      </c>
      <c r="H1430" s="7" t="str">
        <f>IFERROR(__xludf.DUMMYFUNCTION("""COMPUTED_VALUE"""),"No salary data")</f>
        <v>No salary data</v>
      </c>
      <c r="I1430" s="7" t="str">
        <f>IFERROR(__xludf.DUMMYFUNCTION("""COMPUTED_VALUE"""),"No salary data")</f>
        <v>No salary data</v>
      </c>
      <c r="J1430" s="7" t="str">
        <f>IFERROR(__xludf.DUMMYFUNCTION("""COMPUTED_VALUE"""),"SQL")</f>
        <v>SQL</v>
      </c>
      <c r="K1430" s="7" t="str">
        <f>IFERROR(__xludf.DUMMYFUNCTION("""COMPUTED_VALUE"""),"No job type data")</f>
        <v>No job type data</v>
      </c>
      <c r="L1430" s="7" t="str">
        <f>IFERROR(__xludf.DUMMYFUNCTION("""COMPUTED_VALUE"""),"None")</f>
        <v>None</v>
      </c>
      <c r="M1430" s="7"/>
      <c r="N1430" s="7"/>
      <c r="O1430" s="7"/>
    </row>
    <row r="1431">
      <c r="A1431" s="29">
        <f>IFERROR(__xludf.DUMMYFUNCTION("""COMPUTED_VALUE"""),1427.0)</f>
        <v>1427</v>
      </c>
      <c r="B1431" s="7" t="str">
        <f>IFERROR(__xludf.DUMMYFUNCTION("""COMPUTED_VALUE"""),"vor 17 Tagen")</f>
        <v>vor 17 Tagen</v>
      </c>
      <c r="C1431" s="7" t="str">
        <f>IFERROR(__xludf.DUMMYFUNCTION("""COMPUTED_VALUE"""),"Für Freelancer: IT Projektmanager GMP (w/d/m)")</f>
        <v>Für Freelancer: IT Projektmanager GMP (w/d/m)</v>
      </c>
      <c r="D1431" s="7" t="str">
        <f>IFERROR(__xludf.DUMMYFUNCTION("""COMPUTED_VALUE"""),"Leverkusen")</f>
        <v>Leverkusen</v>
      </c>
      <c r="E1431" s="7" t="str">
        <f>IFERROR(__xludf.DUMMYFUNCTION("""COMPUTED_VALUE"""),"None")</f>
        <v>None</v>
      </c>
      <c r="F1431" s="7" t="str">
        <f>IFERROR(__xludf.DUMMYFUNCTION("""COMPUTED_VALUE"""),"None")</f>
        <v>None</v>
      </c>
      <c r="G1431" s="7" t="str">
        <f>IFERROR(__xludf.DUMMYFUNCTION("""COMPUTED_VALUE"""),"No salary data")</f>
        <v>No salary data</v>
      </c>
      <c r="H1431" s="7" t="str">
        <f>IFERROR(__xludf.DUMMYFUNCTION("""COMPUTED_VALUE"""),"No salary data")</f>
        <v>No salary data</v>
      </c>
      <c r="I1431" s="7" t="str">
        <f>IFERROR(__xludf.DUMMYFUNCTION("""COMPUTED_VALUE"""),"No salary data")</f>
        <v>No salary data</v>
      </c>
      <c r="J1431" s="7"/>
      <c r="K1431" s="7" t="str">
        <f>IFERROR(__xludf.DUMMYFUNCTION("""COMPUTED_VALUE"""),"No job type data")</f>
        <v>No job type data</v>
      </c>
      <c r="L1431" s="7" t="str">
        <f>IFERROR(__xludf.DUMMYFUNCTION("""COMPUTED_VALUE"""),"None")</f>
        <v>None</v>
      </c>
      <c r="M1431" s="7"/>
      <c r="N1431" s="7"/>
      <c r="O1431" s="7"/>
    </row>
    <row r="1432">
      <c r="A1432" s="29">
        <f>IFERROR(__xludf.DUMMYFUNCTION("""COMPUTED_VALUE"""),1428.0)</f>
        <v>1428</v>
      </c>
      <c r="B1432" s="7" t="str">
        <f>IFERROR(__xludf.DUMMYFUNCTION("""COMPUTED_VALUE"""),"Vor mehr als 30 Tagen")</f>
        <v>Vor mehr als 30 Tagen</v>
      </c>
      <c r="C1432" s="7" t="str">
        <f>IFERROR(__xludf.DUMMYFUNCTION("""COMPUTED_VALUE"""),"Für Freelancer: AWS Developer - 100% remote till December -...")</f>
        <v>Für Freelancer: AWS Developer - 100% remote till December -...</v>
      </c>
      <c r="D1432" s="7" t="str">
        <f>IFERROR(__xludf.DUMMYFUNCTION("""COMPUTED_VALUE"""),"Karlsruhe")</f>
        <v>Karlsruhe</v>
      </c>
      <c r="E1432" s="7" t="str">
        <f>IFERROR(__xludf.DUMMYFUNCTION("""COMPUTED_VALUE"""),"None")</f>
        <v>None</v>
      </c>
      <c r="F1432" s="7" t="str">
        <f>IFERROR(__xludf.DUMMYFUNCTION("""COMPUTED_VALUE"""),"None")</f>
        <v>None</v>
      </c>
      <c r="G1432" s="7" t="str">
        <f>IFERROR(__xludf.DUMMYFUNCTION("""COMPUTED_VALUE"""),"No salary data")</f>
        <v>No salary data</v>
      </c>
      <c r="H1432" s="7" t="str">
        <f>IFERROR(__xludf.DUMMYFUNCTION("""COMPUTED_VALUE"""),"No salary data")</f>
        <v>No salary data</v>
      </c>
      <c r="I1432" s="7" t="str">
        <f>IFERROR(__xludf.DUMMYFUNCTION("""COMPUTED_VALUE"""),"No salary data")</f>
        <v>No salary data</v>
      </c>
      <c r="J1432" s="7" t="str">
        <f>IFERROR(__xludf.DUMMYFUNCTION("""COMPUTED_VALUE"""),"Agile")</f>
        <v>Agile</v>
      </c>
      <c r="K1432" s="7" t="str">
        <f>IFERROR(__xludf.DUMMYFUNCTION("""COMPUTED_VALUE"""),"No job type data")</f>
        <v>No job type data</v>
      </c>
      <c r="L1432" s="7" t="str">
        <f>IFERROR(__xludf.DUMMYFUNCTION("""COMPUTED_VALUE"""),"None")</f>
        <v>None</v>
      </c>
      <c r="M1432" s="7"/>
      <c r="N1432" s="7"/>
      <c r="O1432" s="7"/>
    </row>
    <row r="1433">
      <c r="A1433" s="29">
        <f>IFERROR(__xludf.DUMMYFUNCTION("""COMPUTED_VALUE"""),1429.0)</f>
        <v>1429</v>
      </c>
      <c r="B1433" s="7" t="str">
        <f>IFERROR(__xludf.DUMMYFUNCTION("""COMPUTED_VALUE"""),"Vor mehr als 30 Tagen")</f>
        <v>Vor mehr als 30 Tagen</v>
      </c>
      <c r="C1433" s="7" t="str">
        <f>IFERROR(__xludf.DUMMYFUNCTION("""COMPUTED_VALUE"""),"Für Freelancer: Data Warehouse Manager (w/m/d) in Frankfurt...")</f>
        <v>Für Freelancer: Data Warehouse Manager (w/m/d) in Frankfurt...</v>
      </c>
      <c r="D1433" s="7" t="str">
        <f>IFERROR(__xludf.DUMMYFUNCTION("""COMPUTED_VALUE"""),"Frankfurt am Main")</f>
        <v>Frankfurt am Main</v>
      </c>
      <c r="E1433" s="7" t="str">
        <f>IFERROR(__xludf.DUMMYFUNCTION("""COMPUTED_VALUE"""),"None")</f>
        <v>None</v>
      </c>
      <c r="F1433" s="7" t="str">
        <f>IFERROR(__xludf.DUMMYFUNCTION("""COMPUTED_VALUE"""),"None")</f>
        <v>None</v>
      </c>
      <c r="G1433" s="7" t="str">
        <f>IFERROR(__xludf.DUMMYFUNCTION("""COMPUTED_VALUE"""),"No salary data")</f>
        <v>No salary data</v>
      </c>
      <c r="H1433" s="7" t="str">
        <f>IFERROR(__xludf.DUMMYFUNCTION("""COMPUTED_VALUE"""),"No salary data")</f>
        <v>No salary data</v>
      </c>
      <c r="I1433" s="7" t="str">
        <f>IFERROR(__xludf.DUMMYFUNCTION("""COMPUTED_VALUE"""),"No salary data")</f>
        <v>No salary data</v>
      </c>
      <c r="J1433" s="7" t="str">
        <f>IFERROR(__xludf.DUMMYFUNCTION("""COMPUTED_VALUE"""),"SQL")</f>
        <v>SQL</v>
      </c>
      <c r="K1433" s="7" t="str">
        <f>IFERROR(__xludf.DUMMYFUNCTION("""COMPUTED_VALUE"""),"No job type data")</f>
        <v>No job type data</v>
      </c>
      <c r="L1433" s="7" t="str">
        <f>IFERROR(__xludf.DUMMYFUNCTION("""COMPUTED_VALUE"""),"None")</f>
        <v>None</v>
      </c>
      <c r="M1433" s="7"/>
      <c r="N1433" s="7"/>
      <c r="O1433" s="7"/>
    </row>
    <row r="1434">
      <c r="A1434" s="29">
        <f>IFERROR(__xludf.DUMMYFUNCTION("""COMPUTED_VALUE"""),1430.0)</f>
        <v>1430</v>
      </c>
      <c r="B1434" s="7" t="str">
        <f>IFERROR(__xludf.DUMMYFUNCTION("""COMPUTED_VALUE"""),"vor 20 Tagen")</f>
        <v>vor 20 Tagen</v>
      </c>
      <c r="C1434" s="7" t="str">
        <f>IFERROR(__xludf.DUMMYFUNCTION("""COMPUTED_VALUE"""),"Junior Consultant")</f>
        <v>Junior Consultant</v>
      </c>
      <c r="D1434" s="7" t="str">
        <f>IFERROR(__xludf.DUMMYFUNCTION("""COMPUTED_VALUE"""),"Deutschland")</f>
        <v>Deutschland</v>
      </c>
      <c r="E1434" s="7" t="str">
        <f>IFERROR(__xludf.DUMMYFUNCTION("""COMPUTED_VALUE"""),"Cytel")</f>
        <v>Cytel</v>
      </c>
      <c r="F1434" s="7" t="str">
        <f>IFERROR(__xludf.DUMMYFUNCTION("""COMPUTED_VALUE"""),"None")</f>
        <v>None</v>
      </c>
      <c r="G1434" s="7" t="str">
        <f>IFERROR(__xludf.DUMMYFUNCTION("""COMPUTED_VALUE"""),"No salary data")</f>
        <v>No salary data</v>
      </c>
      <c r="H1434" s="7" t="str">
        <f>IFERROR(__xludf.DUMMYFUNCTION("""COMPUTED_VALUE"""),"No salary data")</f>
        <v>No salary data</v>
      </c>
      <c r="I1434" s="7" t="str">
        <f>IFERROR(__xludf.DUMMYFUNCTION("""COMPUTED_VALUE"""),"No salary data")</f>
        <v>No salary data</v>
      </c>
      <c r="J1434" s="7" t="str">
        <f>IFERROR(__xludf.DUMMYFUNCTION("""COMPUTED_VALUE"""),"Excel, Statistic")</f>
        <v>Excel, Statistic</v>
      </c>
      <c r="K1434" s="7" t="str">
        <f>IFERROR(__xludf.DUMMYFUNCTION("""COMPUTED_VALUE"""),"Contract")</f>
        <v>Contract</v>
      </c>
      <c r="L1434" s="7" t="str">
        <f>IFERROR(__xludf.DUMMYFUNCTION("""COMPUTED_VALUE"""),"None")</f>
        <v>None</v>
      </c>
      <c r="M1434" s="7"/>
      <c r="N1434" s="7"/>
      <c r="O1434" s="7"/>
    </row>
    <row r="1435">
      <c r="A1435" s="29">
        <f>IFERROR(__xludf.DUMMYFUNCTION("""COMPUTED_VALUE"""),1431.0)</f>
        <v>1431</v>
      </c>
      <c r="B1435" s="7" t="str">
        <f>IFERROR(__xludf.DUMMYFUNCTION("""COMPUTED_VALUE"""),"vor 17 Tagen")</f>
        <v>vor 17 Tagen</v>
      </c>
      <c r="C1435" s="7" t="str">
        <f>IFERROR(__xludf.DUMMYFUNCTION("""COMPUTED_VALUE"""),"Für Freelancer: Freelance Senior Projektmanager (m/w/d)")</f>
        <v>Für Freelancer: Freelance Senior Projektmanager (m/w/d)</v>
      </c>
      <c r="D1435" s="7" t="str">
        <f>IFERROR(__xludf.DUMMYFUNCTION("""COMPUTED_VALUE"""),"Köln")</f>
        <v>Köln</v>
      </c>
      <c r="E1435" s="7" t="str">
        <f>IFERROR(__xludf.DUMMYFUNCTION("""COMPUTED_VALUE"""),"None")</f>
        <v>None</v>
      </c>
      <c r="F1435" s="7" t="str">
        <f>IFERROR(__xludf.DUMMYFUNCTION("""COMPUTED_VALUE"""),"None")</f>
        <v>None</v>
      </c>
      <c r="G1435" s="7" t="str">
        <f>IFERROR(__xludf.DUMMYFUNCTION("""COMPUTED_VALUE"""),"No salary data")</f>
        <v>No salary data</v>
      </c>
      <c r="H1435" s="7" t="str">
        <f>IFERROR(__xludf.DUMMYFUNCTION("""COMPUTED_VALUE"""),"No salary data")</f>
        <v>No salary data</v>
      </c>
      <c r="I1435" s="7" t="str">
        <f>IFERROR(__xludf.DUMMYFUNCTION("""COMPUTED_VALUE"""),"No salary data")</f>
        <v>No salary data</v>
      </c>
      <c r="J1435" s="7"/>
      <c r="K1435" s="7" t="str">
        <f>IFERROR(__xludf.DUMMYFUNCTION("""COMPUTED_VALUE"""),"No job type data")</f>
        <v>No job type data</v>
      </c>
      <c r="L1435" s="7" t="str">
        <f>IFERROR(__xludf.DUMMYFUNCTION("""COMPUTED_VALUE"""),"None")</f>
        <v>None</v>
      </c>
      <c r="M1435" s="7"/>
      <c r="N1435" s="7"/>
      <c r="O1435" s="7"/>
    </row>
    <row r="1436">
      <c r="A1436" s="29">
        <f>IFERROR(__xludf.DUMMYFUNCTION("""COMPUTED_VALUE"""),1432.0)</f>
        <v>1432</v>
      </c>
      <c r="B1436" s="7" t="str">
        <f>IFERROR(__xludf.DUMMYFUNCTION("""COMPUTED_VALUE"""),"vor 14 Tagen")</f>
        <v>vor 14 Tagen</v>
      </c>
      <c r="C1436" s="7" t="str">
        <f>IFERROR(__xludf.DUMMYFUNCTION("""COMPUTED_VALUE"""),"Für Freelancer: Cloud Entwickler &amp; Consultant (m/w/d)")</f>
        <v>Für Freelancer: Cloud Entwickler &amp; Consultant (m/w/d)</v>
      </c>
      <c r="D1436" s="7" t="str">
        <f>IFERROR(__xludf.DUMMYFUNCTION("""COMPUTED_VALUE"""),"München")</f>
        <v>München</v>
      </c>
      <c r="E1436" s="7" t="str">
        <f>IFERROR(__xludf.DUMMYFUNCTION("""COMPUTED_VALUE"""),"None")</f>
        <v>None</v>
      </c>
      <c r="F1436" s="7" t="str">
        <f>IFERROR(__xludf.DUMMYFUNCTION("""COMPUTED_VALUE"""),"None")</f>
        <v>None</v>
      </c>
      <c r="G1436" s="7" t="str">
        <f>IFERROR(__xludf.DUMMYFUNCTION("""COMPUTED_VALUE"""),"No salary data")</f>
        <v>No salary data</v>
      </c>
      <c r="H1436" s="7" t="str">
        <f>IFERROR(__xludf.DUMMYFUNCTION("""COMPUTED_VALUE"""),"No salary data")</f>
        <v>No salary data</v>
      </c>
      <c r="I1436" s="7" t="str">
        <f>IFERROR(__xludf.DUMMYFUNCTION("""COMPUTED_VALUE"""),"No salary data")</f>
        <v>No salary data</v>
      </c>
      <c r="J1436" s="7" t="str">
        <f>IFERROR(__xludf.DUMMYFUNCTION("""COMPUTED_VALUE"""),"Python, SQL, Scrum")</f>
        <v>Python, SQL, Scrum</v>
      </c>
      <c r="K1436" s="7" t="str">
        <f>IFERROR(__xludf.DUMMYFUNCTION("""COMPUTED_VALUE"""),"No job type data")</f>
        <v>No job type data</v>
      </c>
      <c r="L1436" s="7" t="str">
        <f>IFERROR(__xludf.DUMMYFUNCTION("""COMPUTED_VALUE"""),"None")</f>
        <v>None</v>
      </c>
      <c r="M1436" s="7"/>
      <c r="N1436" s="7"/>
      <c r="O1436" s="7"/>
    </row>
    <row r="1437">
      <c r="A1437" s="29">
        <f>IFERROR(__xludf.DUMMYFUNCTION("""COMPUTED_VALUE"""),1433.0)</f>
        <v>1433</v>
      </c>
      <c r="B1437" s="7" t="str">
        <f>IFERROR(__xludf.DUMMYFUNCTION("""COMPUTED_VALUE"""),"vor 19 Tagen")</f>
        <v>vor 19 Tagen</v>
      </c>
      <c r="C1437" s="7" t="str">
        <f>IFERROR(__xludf.DUMMYFUNCTION("""COMPUTED_VALUE"""),"Für Freelancer: Hyperion Financial Management - 100% remote...")</f>
        <v>Für Freelancer: Hyperion Financial Management - 100% remote...</v>
      </c>
      <c r="D1437" s="7" t="str">
        <f>IFERROR(__xludf.DUMMYFUNCTION("""COMPUTED_VALUE"""),"Frankfurt am Main")</f>
        <v>Frankfurt am Main</v>
      </c>
      <c r="E1437" s="7" t="str">
        <f>IFERROR(__xludf.DUMMYFUNCTION("""COMPUTED_VALUE"""),"None")</f>
        <v>None</v>
      </c>
      <c r="F1437" s="7" t="str">
        <f>IFERROR(__xludf.DUMMYFUNCTION("""COMPUTED_VALUE"""),"None")</f>
        <v>None</v>
      </c>
      <c r="G1437" s="7" t="str">
        <f>IFERROR(__xludf.DUMMYFUNCTION("""COMPUTED_VALUE"""),"No salary data")</f>
        <v>No salary data</v>
      </c>
      <c r="H1437" s="7" t="str">
        <f>IFERROR(__xludf.DUMMYFUNCTION("""COMPUTED_VALUE"""),"No salary data")</f>
        <v>No salary data</v>
      </c>
      <c r="I1437" s="7" t="str">
        <f>IFERROR(__xludf.DUMMYFUNCTION("""COMPUTED_VALUE"""),"No salary data")</f>
        <v>No salary data</v>
      </c>
      <c r="J1437" s="7"/>
      <c r="K1437" s="7" t="str">
        <f>IFERROR(__xludf.DUMMYFUNCTION("""COMPUTED_VALUE"""),"No job type data")</f>
        <v>No job type data</v>
      </c>
      <c r="L1437" s="7" t="str">
        <f>IFERROR(__xludf.DUMMYFUNCTION("""COMPUTED_VALUE"""),"None")</f>
        <v>None</v>
      </c>
      <c r="M1437" s="7"/>
      <c r="N1437" s="7"/>
      <c r="O1437" s="7"/>
    </row>
    <row r="1438">
      <c r="A1438" s="29">
        <f>IFERROR(__xludf.DUMMYFUNCTION("""COMPUTED_VALUE"""),1434.0)</f>
        <v>1434</v>
      </c>
      <c r="B1438" s="7" t="str">
        <f>IFERROR(__xludf.DUMMYFUNCTION("""COMPUTED_VALUE"""),"Vor mehr als 30 Tagen")</f>
        <v>Vor mehr als 30 Tagen</v>
      </c>
      <c r="C1438" s="7" t="str">
        <f>IFERROR(__xludf.DUMMYFUNCTION("""COMPUTED_VALUE"""),"Big Data Engineer (m/w/d)")</f>
        <v>Big Data Engineer (m/w/d)</v>
      </c>
      <c r="D1438" s="7" t="str">
        <f>IFERROR(__xludf.DUMMYFUNCTION("""COMPUTED_VALUE"""),"Ismaning")</f>
        <v>Ismaning</v>
      </c>
      <c r="E1438" s="7" t="str">
        <f>IFERROR(__xludf.DUMMYFUNCTION("""COMPUTED_VALUE"""),"TecAlliance GmbH")</f>
        <v>TecAlliance GmbH</v>
      </c>
      <c r="F1438" s="7" t="str">
        <f>IFERROR(__xludf.DUMMYFUNCTION("""COMPUTED_VALUE"""),"None")</f>
        <v>None</v>
      </c>
      <c r="G1438" s="7" t="str">
        <f>IFERROR(__xludf.DUMMYFUNCTION("""COMPUTED_VALUE"""),"No salary data")</f>
        <v>No salary data</v>
      </c>
      <c r="H1438" s="7" t="str">
        <f>IFERROR(__xludf.DUMMYFUNCTION("""COMPUTED_VALUE"""),"No salary data")</f>
        <v>No salary data</v>
      </c>
      <c r="I1438" s="7" t="str">
        <f>IFERROR(__xludf.DUMMYFUNCTION("""COMPUTED_VALUE"""),"No salary data")</f>
        <v>No salary data</v>
      </c>
      <c r="J1438" s="7" t="str">
        <f>IFERROR(__xludf.DUMMYFUNCTION("""COMPUTED_VALUE"""),"Python, Git, Agile")</f>
        <v>Python, Git, Agile</v>
      </c>
      <c r="K1438" s="7" t="str">
        <f>IFERROR(__xludf.DUMMYFUNCTION("""COMPUTED_VALUE"""),"No job type data")</f>
        <v>No job type data</v>
      </c>
      <c r="L1438" s="7" t="str">
        <f>IFERROR(__xludf.DUMMYFUNCTION("""COMPUTED_VALUE"""),"4,5")</f>
        <v>4,5</v>
      </c>
      <c r="M1438" s="7"/>
      <c r="N1438" s="7"/>
      <c r="O1438" s="7"/>
    </row>
    <row r="1439">
      <c r="A1439" s="29">
        <f>IFERROR(__xludf.DUMMYFUNCTION("""COMPUTED_VALUE"""),1435.0)</f>
        <v>1435</v>
      </c>
      <c r="B1439" s="7" t="str">
        <f>IFERROR(__xludf.DUMMYFUNCTION("""COMPUTED_VALUE"""),"vor 17 Tagen")</f>
        <v>vor 17 Tagen</v>
      </c>
      <c r="C1439" s="7" t="str">
        <f>IFERROR(__xludf.DUMMYFUNCTION("""COMPUTED_VALUE"""),"Für Freelancer: Ephesus - Architektur: Architekt Anwendungsa...")</f>
        <v>Für Freelancer: Ephesus - Architektur: Architekt Anwendungsa...</v>
      </c>
      <c r="D1439" s="7" t="str">
        <f>IFERROR(__xludf.DUMMYFUNCTION("""COMPUTED_VALUE"""),"Nürnberg")</f>
        <v>Nürnberg</v>
      </c>
      <c r="E1439" s="7" t="str">
        <f>IFERROR(__xludf.DUMMYFUNCTION("""COMPUTED_VALUE"""),"None")</f>
        <v>None</v>
      </c>
      <c r="F1439" s="7" t="str">
        <f>IFERROR(__xludf.DUMMYFUNCTION("""COMPUTED_VALUE"""),"None")</f>
        <v>None</v>
      </c>
      <c r="G1439" s="7" t="str">
        <f>IFERROR(__xludf.DUMMYFUNCTION("""COMPUTED_VALUE"""),"No salary data")</f>
        <v>No salary data</v>
      </c>
      <c r="H1439" s="7" t="str">
        <f>IFERROR(__xludf.DUMMYFUNCTION("""COMPUTED_VALUE"""),"No salary data")</f>
        <v>No salary data</v>
      </c>
      <c r="I1439" s="7" t="str">
        <f>IFERROR(__xludf.DUMMYFUNCTION("""COMPUTED_VALUE"""),"No salary data")</f>
        <v>No salary data</v>
      </c>
      <c r="J1439" s="7" t="str">
        <f>IFERROR(__xludf.DUMMYFUNCTION("""COMPUTED_VALUE"""),"SQL, Git, Agile, Scrum")</f>
        <v>SQL, Git, Agile, Scrum</v>
      </c>
      <c r="K1439" s="7" t="str">
        <f>IFERROR(__xludf.DUMMYFUNCTION("""COMPUTED_VALUE"""),"No job type data")</f>
        <v>No job type data</v>
      </c>
      <c r="L1439" s="7" t="str">
        <f>IFERROR(__xludf.DUMMYFUNCTION("""COMPUTED_VALUE"""),"None")</f>
        <v>None</v>
      </c>
      <c r="M1439" s="7"/>
      <c r="N1439" s="7"/>
      <c r="O1439" s="7"/>
    </row>
    <row r="1440">
      <c r="A1440" s="29">
        <f>IFERROR(__xludf.DUMMYFUNCTION("""COMPUTED_VALUE"""),1436.0)</f>
        <v>1436</v>
      </c>
      <c r="B1440" s="7" t="str">
        <f>IFERROR(__xludf.DUMMYFUNCTION("""COMPUTED_VALUE"""),"Vor mehr als 30 Tagen")</f>
        <v>Vor mehr als 30 Tagen</v>
      </c>
      <c r="C1440" s="7" t="str">
        <f>IFERROR(__xludf.DUMMYFUNCTION("""COMPUTED_VALUE"""),"Big Data Engineer (m/w/d)")</f>
        <v>Big Data Engineer (m/w/d)</v>
      </c>
      <c r="D1440" s="7" t="str">
        <f>IFERROR(__xludf.DUMMYFUNCTION("""COMPUTED_VALUE"""),"Köln")</f>
        <v>Köln</v>
      </c>
      <c r="E1440" s="7" t="str">
        <f>IFERROR(__xludf.DUMMYFUNCTION("""COMPUTED_VALUE"""),"TecAlliance GmbH")</f>
        <v>TecAlliance GmbH</v>
      </c>
      <c r="F1440" s="7" t="str">
        <f>IFERROR(__xludf.DUMMYFUNCTION("""COMPUTED_VALUE"""),"None")</f>
        <v>None</v>
      </c>
      <c r="G1440" s="7" t="str">
        <f>IFERROR(__xludf.DUMMYFUNCTION("""COMPUTED_VALUE"""),"No salary data")</f>
        <v>No salary data</v>
      </c>
      <c r="H1440" s="7" t="str">
        <f>IFERROR(__xludf.DUMMYFUNCTION("""COMPUTED_VALUE"""),"No salary data")</f>
        <v>No salary data</v>
      </c>
      <c r="I1440" s="7" t="str">
        <f>IFERROR(__xludf.DUMMYFUNCTION("""COMPUTED_VALUE"""),"No salary data")</f>
        <v>No salary data</v>
      </c>
      <c r="J1440" s="7" t="str">
        <f>IFERROR(__xludf.DUMMYFUNCTION("""COMPUTED_VALUE"""),"Python, Git, Agile")</f>
        <v>Python, Git, Agile</v>
      </c>
      <c r="K1440" s="7" t="str">
        <f>IFERROR(__xludf.DUMMYFUNCTION("""COMPUTED_VALUE"""),"No job type data")</f>
        <v>No job type data</v>
      </c>
      <c r="L1440" s="7" t="str">
        <f>IFERROR(__xludf.DUMMYFUNCTION("""COMPUTED_VALUE"""),"4,5")</f>
        <v>4,5</v>
      </c>
      <c r="M1440" s="7"/>
      <c r="N1440" s="7"/>
      <c r="O1440" s="7"/>
    </row>
    <row r="1441">
      <c r="A1441" s="29">
        <f>IFERROR(__xludf.DUMMYFUNCTION("""COMPUTED_VALUE"""),1437.0)</f>
        <v>1437</v>
      </c>
      <c r="B1441" s="7" t="str">
        <f>IFERROR(__xludf.DUMMYFUNCTION("""COMPUTED_VALUE"""),"vor 20 Tagen")</f>
        <v>vor 20 Tagen</v>
      </c>
      <c r="C1441" s="7" t="str">
        <f>IFERROR(__xludf.DUMMYFUNCTION("""COMPUTED_VALUE"""),"Meta Analysis - consultant")</f>
        <v>Meta Analysis - consultant</v>
      </c>
      <c r="D1441" s="7" t="str">
        <f>IFERROR(__xludf.DUMMYFUNCTION("""COMPUTED_VALUE"""),"Deutschland")</f>
        <v>Deutschland</v>
      </c>
      <c r="E1441" s="7" t="str">
        <f>IFERROR(__xludf.DUMMYFUNCTION("""COMPUTED_VALUE"""),"Barrington James")</f>
        <v>Barrington James</v>
      </c>
      <c r="F1441" s="7" t="str">
        <f>IFERROR(__xludf.DUMMYFUNCTION("""COMPUTED_VALUE"""),"None")</f>
        <v>None</v>
      </c>
      <c r="G1441" s="7" t="str">
        <f>IFERROR(__xludf.DUMMYFUNCTION("""COMPUTED_VALUE"""),"No salary data")</f>
        <v>No salary data</v>
      </c>
      <c r="H1441" s="7" t="str">
        <f>IFERROR(__xludf.DUMMYFUNCTION("""COMPUTED_VALUE"""),"No salary data")</f>
        <v>No salary data</v>
      </c>
      <c r="I1441" s="7" t="str">
        <f>IFERROR(__xludf.DUMMYFUNCTION("""COMPUTED_VALUE"""),"No salary data")</f>
        <v>No salary data</v>
      </c>
      <c r="J1441" s="7" t="str">
        <f>IFERROR(__xludf.DUMMYFUNCTION("""COMPUTED_VALUE"""),"Statistic")</f>
        <v>Statistic</v>
      </c>
      <c r="K1441" s="7" t="str">
        <f>IFERROR(__xludf.DUMMYFUNCTION("""COMPUTED_VALUE"""),"No job type data")</f>
        <v>No job type data</v>
      </c>
      <c r="L1441" s="7" t="str">
        <f>IFERROR(__xludf.DUMMYFUNCTION("""COMPUTED_VALUE"""),"None")</f>
        <v>None</v>
      </c>
      <c r="M1441" s="7"/>
      <c r="N1441" s="7"/>
      <c r="O1441" s="7"/>
    </row>
    <row r="1442">
      <c r="A1442" s="29">
        <f>IFERROR(__xludf.DUMMYFUNCTION("""COMPUTED_VALUE"""),1438.0)</f>
        <v>1438</v>
      </c>
      <c r="B1442" s="7" t="str">
        <f>IFERROR(__xludf.DUMMYFUNCTION("""COMPUTED_VALUE"""),"Vor mehr als 30 Tagen")</f>
        <v>Vor mehr als 30 Tagen</v>
      </c>
      <c r="C1442" s="7" t="str">
        <f>IFERROR(__xludf.DUMMYFUNCTION("""COMPUTED_VALUE"""),"Für Freelancer: SAP Anwendungsbetreuer (m/w/d) ID: 2526")</f>
        <v>Für Freelancer: SAP Anwendungsbetreuer (m/w/d) ID: 2526</v>
      </c>
      <c r="D1442" s="7" t="str">
        <f>IFERROR(__xludf.DUMMYFUNCTION("""COMPUTED_VALUE"""),"Hannover")</f>
        <v>Hannover</v>
      </c>
      <c r="E1442" s="7" t="str">
        <f>IFERROR(__xludf.DUMMYFUNCTION("""COMPUTED_VALUE"""),"None")</f>
        <v>None</v>
      </c>
      <c r="F1442" s="7" t="str">
        <f>IFERROR(__xludf.DUMMYFUNCTION("""COMPUTED_VALUE"""),"None")</f>
        <v>None</v>
      </c>
      <c r="G1442" s="7" t="str">
        <f>IFERROR(__xludf.DUMMYFUNCTION("""COMPUTED_VALUE"""),"No salary data")</f>
        <v>No salary data</v>
      </c>
      <c r="H1442" s="7" t="str">
        <f>IFERROR(__xludf.DUMMYFUNCTION("""COMPUTED_VALUE"""),"No salary data")</f>
        <v>No salary data</v>
      </c>
      <c r="I1442" s="7" t="str">
        <f>IFERROR(__xludf.DUMMYFUNCTION("""COMPUTED_VALUE"""),"No salary data")</f>
        <v>No salary data</v>
      </c>
      <c r="J1442" s="7"/>
      <c r="K1442" s="7" t="str">
        <f>IFERROR(__xludf.DUMMYFUNCTION("""COMPUTED_VALUE"""),"No job type data")</f>
        <v>No job type data</v>
      </c>
      <c r="L1442" s="7" t="str">
        <f>IFERROR(__xludf.DUMMYFUNCTION("""COMPUTED_VALUE"""),"None")</f>
        <v>None</v>
      </c>
      <c r="M1442" s="7"/>
      <c r="N1442" s="7"/>
      <c r="O1442" s="7"/>
    </row>
    <row r="1443">
      <c r="A1443" s="29">
        <f>IFERROR(__xludf.DUMMYFUNCTION("""COMPUTED_VALUE"""),1439.0)</f>
        <v>1439</v>
      </c>
      <c r="B1443" s="7" t="str">
        <f>IFERROR(__xludf.DUMMYFUNCTION("""COMPUTED_VALUE"""),"vor 20 Tagen")</f>
        <v>vor 20 Tagen</v>
      </c>
      <c r="C1443" s="7" t="str">
        <f>IFERROR(__xludf.DUMMYFUNCTION("""COMPUTED_VALUE"""),"Meta Analysis - Research Consultant")</f>
        <v>Meta Analysis - Research Consultant</v>
      </c>
      <c r="D1443" s="7" t="str">
        <f>IFERROR(__xludf.DUMMYFUNCTION("""COMPUTED_VALUE"""),"Deutschland")</f>
        <v>Deutschland</v>
      </c>
      <c r="E1443" s="7" t="str">
        <f>IFERROR(__xludf.DUMMYFUNCTION("""COMPUTED_VALUE"""),"Barrington James")</f>
        <v>Barrington James</v>
      </c>
      <c r="F1443" s="7" t="str">
        <f>IFERROR(__xludf.DUMMYFUNCTION("""COMPUTED_VALUE"""),"None")</f>
        <v>None</v>
      </c>
      <c r="G1443" s="7" t="str">
        <f>IFERROR(__xludf.DUMMYFUNCTION("""COMPUTED_VALUE"""),"No salary data")</f>
        <v>No salary data</v>
      </c>
      <c r="H1443" s="7" t="str">
        <f>IFERROR(__xludf.DUMMYFUNCTION("""COMPUTED_VALUE"""),"No salary data")</f>
        <v>No salary data</v>
      </c>
      <c r="I1443" s="7" t="str">
        <f>IFERROR(__xludf.DUMMYFUNCTION("""COMPUTED_VALUE"""),"No salary data")</f>
        <v>No salary data</v>
      </c>
      <c r="J1443" s="7" t="str">
        <f>IFERROR(__xludf.DUMMYFUNCTION("""COMPUTED_VALUE"""),"Statistic")</f>
        <v>Statistic</v>
      </c>
      <c r="K1443" s="7" t="str">
        <f>IFERROR(__xludf.DUMMYFUNCTION("""COMPUTED_VALUE"""),"No job type data")</f>
        <v>No job type data</v>
      </c>
      <c r="L1443" s="7" t="str">
        <f>IFERROR(__xludf.DUMMYFUNCTION("""COMPUTED_VALUE"""),"None")</f>
        <v>None</v>
      </c>
      <c r="M1443" s="7"/>
      <c r="N1443" s="7"/>
      <c r="O1443" s="7"/>
    </row>
    <row r="1444">
      <c r="A1444" s="29">
        <f>IFERROR(__xludf.DUMMYFUNCTION("""COMPUTED_VALUE"""),1440.0)</f>
        <v>1440</v>
      </c>
      <c r="B1444" s="7" t="str">
        <f>IFERROR(__xludf.DUMMYFUNCTION("""COMPUTED_VALUE"""),"vor 20 Tagen")</f>
        <v>vor 20 Tagen</v>
      </c>
      <c r="C1444" s="7" t="str">
        <f>IFERROR(__xludf.DUMMYFUNCTION("""COMPUTED_VALUE"""),"Meta Analysis - consultant")</f>
        <v>Meta Analysis - consultant</v>
      </c>
      <c r="D1444" s="7" t="str">
        <f>IFERROR(__xludf.DUMMYFUNCTION("""COMPUTED_VALUE"""),"Deutschland")</f>
        <v>Deutschland</v>
      </c>
      <c r="E1444" s="7" t="str">
        <f>IFERROR(__xludf.DUMMYFUNCTION("""COMPUTED_VALUE"""),"Barrington James")</f>
        <v>Barrington James</v>
      </c>
      <c r="F1444" s="7" t="str">
        <f>IFERROR(__xludf.DUMMYFUNCTION("""COMPUTED_VALUE"""),"None")</f>
        <v>None</v>
      </c>
      <c r="G1444" s="7" t="str">
        <f>IFERROR(__xludf.DUMMYFUNCTION("""COMPUTED_VALUE"""),"No salary data")</f>
        <v>No salary data</v>
      </c>
      <c r="H1444" s="7" t="str">
        <f>IFERROR(__xludf.DUMMYFUNCTION("""COMPUTED_VALUE"""),"No salary data")</f>
        <v>No salary data</v>
      </c>
      <c r="I1444" s="7" t="str">
        <f>IFERROR(__xludf.DUMMYFUNCTION("""COMPUTED_VALUE"""),"No salary data")</f>
        <v>No salary data</v>
      </c>
      <c r="J1444" s="7" t="str">
        <f>IFERROR(__xludf.DUMMYFUNCTION("""COMPUTED_VALUE"""),"Statistic")</f>
        <v>Statistic</v>
      </c>
      <c r="K1444" s="7" t="str">
        <f>IFERROR(__xludf.DUMMYFUNCTION("""COMPUTED_VALUE"""),"No job type data")</f>
        <v>No job type data</v>
      </c>
      <c r="L1444" s="7" t="str">
        <f>IFERROR(__xludf.DUMMYFUNCTION("""COMPUTED_VALUE"""),"None")</f>
        <v>None</v>
      </c>
      <c r="M1444" s="7"/>
      <c r="N1444" s="7"/>
      <c r="O1444" s="7"/>
    </row>
    <row r="1445">
      <c r="A1445" s="29">
        <f>IFERROR(__xludf.DUMMYFUNCTION("""COMPUTED_VALUE"""),1441.0)</f>
        <v>1441</v>
      </c>
      <c r="B1445" s="7" t="str">
        <f>IFERROR(__xludf.DUMMYFUNCTION("""COMPUTED_VALUE"""),"vor 24 Tagen")</f>
        <v>vor 24 Tagen</v>
      </c>
      <c r="C1445" s="7" t="str">
        <f>IFERROR(__xludf.DUMMYFUNCTION("""COMPUTED_VALUE"""),"Statistician / Research Consultant - Meta Analysis")</f>
        <v>Statistician / Research Consultant - Meta Analysis</v>
      </c>
      <c r="D1445" s="7" t="str">
        <f>IFERROR(__xludf.DUMMYFUNCTION("""COMPUTED_VALUE"""),"Deutschland")</f>
        <v>Deutschland</v>
      </c>
      <c r="E1445" s="7" t="str">
        <f>IFERROR(__xludf.DUMMYFUNCTION("""COMPUTED_VALUE"""),"Barrington James")</f>
        <v>Barrington James</v>
      </c>
      <c r="F1445" s="7" t="str">
        <f>IFERROR(__xludf.DUMMYFUNCTION("""COMPUTED_VALUE"""),"None")</f>
        <v>None</v>
      </c>
      <c r="G1445" s="7" t="str">
        <f>IFERROR(__xludf.DUMMYFUNCTION("""COMPUTED_VALUE"""),"No salary data")</f>
        <v>No salary data</v>
      </c>
      <c r="H1445" s="7" t="str">
        <f>IFERROR(__xludf.DUMMYFUNCTION("""COMPUTED_VALUE"""),"No salary data")</f>
        <v>No salary data</v>
      </c>
      <c r="I1445" s="7" t="str">
        <f>IFERROR(__xludf.DUMMYFUNCTION("""COMPUTED_VALUE"""),"No salary data")</f>
        <v>No salary data</v>
      </c>
      <c r="J1445" s="7" t="str">
        <f>IFERROR(__xludf.DUMMYFUNCTION("""COMPUTED_VALUE"""),"Statistic")</f>
        <v>Statistic</v>
      </c>
      <c r="K1445" s="7" t="str">
        <f>IFERROR(__xludf.DUMMYFUNCTION("""COMPUTED_VALUE"""),"No job type data")</f>
        <v>No job type data</v>
      </c>
      <c r="L1445" s="7" t="str">
        <f>IFERROR(__xludf.DUMMYFUNCTION("""COMPUTED_VALUE"""),"None")</f>
        <v>None</v>
      </c>
      <c r="M1445" s="7"/>
      <c r="N1445" s="7"/>
      <c r="O1445" s="7"/>
    </row>
    <row r="1446">
      <c r="A1446" s="29">
        <f>IFERROR(__xludf.DUMMYFUNCTION("""COMPUTED_VALUE"""),1442.0)</f>
        <v>1442</v>
      </c>
      <c r="B1446" s="7" t="str">
        <f>IFERROR(__xludf.DUMMYFUNCTION("""COMPUTED_VALUE"""),"vor 10 Tagen")</f>
        <v>vor 10 Tagen</v>
      </c>
      <c r="C1446" s="7" t="str">
        <f>IFERROR(__xludf.DUMMYFUNCTION("""COMPUTED_VALUE"""),"Für Freelancer: Web-Researcher gesucht")</f>
        <v>Für Freelancer: Web-Researcher gesucht</v>
      </c>
      <c r="D1446" s="7" t="str">
        <f>IFERROR(__xludf.DUMMYFUNCTION("""COMPUTED_VALUE"""),"Bretten")</f>
        <v>Bretten</v>
      </c>
      <c r="E1446" s="7" t="str">
        <f>IFERROR(__xludf.DUMMYFUNCTION("""COMPUTED_VALUE"""),"None")</f>
        <v>None</v>
      </c>
      <c r="F1446" s="7" t="str">
        <f>IFERROR(__xludf.DUMMYFUNCTION("""COMPUTED_VALUE"""),"None")</f>
        <v>None</v>
      </c>
      <c r="G1446" s="7" t="str">
        <f>IFERROR(__xludf.DUMMYFUNCTION("""COMPUTED_VALUE"""),"No salary data")</f>
        <v>No salary data</v>
      </c>
      <c r="H1446" s="7" t="str">
        <f>IFERROR(__xludf.DUMMYFUNCTION("""COMPUTED_VALUE"""),"No salary data")</f>
        <v>No salary data</v>
      </c>
      <c r="I1446" s="7" t="str">
        <f>IFERROR(__xludf.DUMMYFUNCTION("""COMPUTED_VALUE"""),"No salary data")</f>
        <v>No salary data</v>
      </c>
      <c r="J1446" s="7"/>
      <c r="K1446" s="7" t="str">
        <f>IFERROR(__xludf.DUMMYFUNCTION("""COMPUTED_VALUE"""),"No job type data")</f>
        <v>No job type data</v>
      </c>
      <c r="L1446" s="7" t="str">
        <f>IFERROR(__xludf.DUMMYFUNCTION("""COMPUTED_VALUE"""),"None")</f>
        <v>None</v>
      </c>
      <c r="M1446" s="7"/>
      <c r="N1446" s="7"/>
      <c r="O1446" s="7"/>
    </row>
    <row r="1447">
      <c r="A1447" s="29">
        <f>IFERROR(__xludf.DUMMYFUNCTION("""COMPUTED_VALUE"""),1443.0)</f>
        <v>1443</v>
      </c>
      <c r="B1447" s="7" t="str">
        <f>IFERROR(__xludf.DUMMYFUNCTION("""COMPUTED_VALUE"""),"vor 26 Tagen")</f>
        <v>vor 26 Tagen</v>
      </c>
      <c r="C1447" s="7" t="str">
        <f>IFERROR(__xludf.DUMMYFUNCTION("""COMPUTED_VALUE"""),"Für Freelancer: Softwarearchitekt (m/w/d)")</f>
        <v>Für Freelancer: Softwarearchitekt (m/w/d)</v>
      </c>
      <c r="D1447" s="7" t="str">
        <f>IFERROR(__xludf.DUMMYFUNCTION("""COMPUTED_VALUE"""),"Berlin")</f>
        <v>Berlin</v>
      </c>
      <c r="E1447" s="7" t="str">
        <f>IFERROR(__xludf.DUMMYFUNCTION("""COMPUTED_VALUE"""),"None")</f>
        <v>None</v>
      </c>
      <c r="F1447" s="7" t="str">
        <f>IFERROR(__xludf.DUMMYFUNCTION("""COMPUTED_VALUE"""),"None")</f>
        <v>None</v>
      </c>
      <c r="G1447" s="7" t="str">
        <f>IFERROR(__xludf.DUMMYFUNCTION("""COMPUTED_VALUE"""),"No salary data")</f>
        <v>No salary data</v>
      </c>
      <c r="H1447" s="7" t="str">
        <f>IFERROR(__xludf.DUMMYFUNCTION("""COMPUTED_VALUE"""),"No salary data")</f>
        <v>No salary data</v>
      </c>
      <c r="I1447" s="7" t="str">
        <f>IFERROR(__xludf.DUMMYFUNCTION("""COMPUTED_VALUE"""),"No salary data")</f>
        <v>No salary data</v>
      </c>
      <c r="J1447" s="7"/>
      <c r="K1447" s="7" t="str">
        <f>IFERROR(__xludf.DUMMYFUNCTION("""COMPUTED_VALUE"""),"No job type data")</f>
        <v>No job type data</v>
      </c>
      <c r="L1447" s="7" t="str">
        <f>IFERROR(__xludf.DUMMYFUNCTION("""COMPUTED_VALUE"""),"None")</f>
        <v>None</v>
      </c>
      <c r="M1447" s="7"/>
      <c r="N1447" s="7"/>
      <c r="O1447" s="7"/>
    </row>
    <row r="1448">
      <c r="A1448" s="29">
        <f>IFERROR(__xludf.DUMMYFUNCTION("""COMPUTED_VALUE"""),1444.0)</f>
        <v>1444</v>
      </c>
      <c r="B1448" s="7" t="str">
        <f>IFERROR(__xludf.DUMMYFUNCTION("""COMPUTED_VALUE"""),"Vor mehr als 30 Tagen")</f>
        <v>Vor mehr als 30 Tagen</v>
      </c>
      <c r="C1448" s="7" t="str">
        <f>IFERROR(__xludf.DUMMYFUNCTION("""COMPUTED_VALUE"""),"Für Freelancer: Data Center Architect (m/w/d)")</f>
        <v>Für Freelancer: Data Center Architect (m/w/d)</v>
      </c>
      <c r="D1448" s="7" t="str">
        <f>IFERROR(__xludf.DUMMYFUNCTION("""COMPUTED_VALUE"""),"Stuttgart")</f>
        <v>Stuttgart</v>
      </c>
      <c r="E1448" s="7" t="str">
        <f>IFERROR(__xludf.DUMMYFUNCTION("""COMPUTED_VALUE"""),"None")</f>
        <v>None</v>
      </c>
      <c r="F1448" s="7" t="str">
        <f>IFERROR(__xludf.DUMMYFUNCTION("""COMPUTED_VALUE"""),"None")</f>
        <v>None</v>
      </c>
      <c r="G1448" s="7" t="str">
        <f>IFERROR(__xludf.DUMMYFUNCTION("""COMPUTED_VALUE"""),"No salary data")</f>
        <v>No salary data</v>
      </c>
      <c r="H1448" s="7" t="str">
        <f>IFERROR(__xludf.DUMMYFUNCTION("""COMPUTED_VALUE"""),"No salary data")</f>
        <v>No salary data</v>
      </c>
      <c r="I1448" s="7" t="str">
        <f>IFERROR(__xludf.DUMMYFUNCTION("""COMPUTED_VALUE"""),"No salary data")</f>
        <v>No salary data</v>
      </c>
      <c r="J1448" s="7"/>
      <c r="K1448" s="7" t="str">
        <f>IFERROR(__xludf.DUMMYFUNCTION("""COMPUTED_VALUE"""),"No job type data")</f>
        <v>No job type data</v>
      </c>
      <c r="L1448" s="7" t="str">
        <f>IFERROR(__xludf.DUMMYFUNCTION("""COMPUTED_VALUE"""),"None")</f>
        <v>None</v>
      </c>
      <c r="M1448" s="7"/>
      <c r="N1448" s="7"/>
      <c r="O1448" s="7"/>
    </row>
    <row r="1449">
      <c r="A1449" s="29">
        <f>IFERROR(__xludf.DUMMYFUNCTION("""COMPUTED_VALUE"""),1445.0)</f>
        <v>1445</v>
      </c>
      <c r="B1449" s="7" t="str">
        <f>IFERROR(__xludf.DUMMYFUNCTION("""COMPUTED_VALUE"""),"vor 9 Tagen")</f>
        <v>vor 9 Tagen</v>
      </c>
      <c r="C1449" s="7" t="str">
        <f>IFERROR(__xludf.DUMMYFUNCTION("""COMPUTED_VALUE"""),"Bioinformatician")</f>
        <v>Bioinformatician</v>
      </c>
      <c r="D1449" s="7" t="str">
        <f>IFERROR(__xludf.DUMMYFUNCTION("""COMPUTED_VALUE"""),"Deutschland")</f>
        <v>Deutschland</v>
      </c>
      <c r="E1449" s="7" t="str">
        <f>IFERROR(__xludf.DUMMYFUNCTION("""COMPUTED_VALUE"""),"Umbilical Life")</f>
        <v>Umbilical Life</v>
      </c>
      <c r="F1449" s="7" t="str">
        <f>IFERROR(__xludf.DUMMYFUNCTION("""COMPUTED_VALUE"""),"None")</f>
        <v>None</v>
      </c>
      <c r="G1449" s="7" t="str">
        <f>IFERROR(__xludf.DUMMYFUNCTION("""COMPUTED_VALUE"""),"No salary data")</f>
        <v>No salary data</v>
      </c>
      <c r="H1449" s="7" t="str">
        <f>IFERROR(__xludf.DUMMYFUNCTION("""COMPUTED_VALUE"""),"No salary data")</f>
        <v>No salary data</v>
      </c>
      <c r="I1449" s="7" t="str">
        <f>IFERROR(__xludf.DUMMYFUNCTION("""COMPUTED_VALUE"""),"No salary data")</f>
        <v>No salary data</v>
      </c>
      <c r="J1449" s="7"/>
      <c r="K1449" s="7" t="str">
        <f>IFERROR(__xludf.DUMMYFUNCTION("""COMPUTED_VALUE"""),"No job type data")</f>
        <v>No job type data</v>
      </c>
      <c r="L1449" s="7" t="str">
        <f>IFERROR(__xludf.DUMMYFUNCTION("""COMPUTED_VALUE"""),"None")</f>
        <v>None</v>
      </c>
      <c r="M1449" s="7"/>
      <c r="N1449" s="7"/>
      <c r="O1449" s="7"/>
    </row>
    <row r="1450">
      <c r="A1450" s="29">
        <f>IFERROR(__xludf.DUMMYFUNCTION("""COMPUTED_VALUE"""),1446.0)</f>
        <v>1446</v>
      </c>
      <c r="B1450" s="7" t="str">
        <f>IFERROR(__xludf.DUMMYFUNCTION("""COMPUTED_VALUE"""),"Vor mehr als 30 Tagen")</f>
        <v>Vor mehr als 30 Tagen</v>
      </c>
      <c r="C1450" s="7" t="str">
        <f>IFERROR(__xludf.DUMMYFUNCTION("""COMPUTED_VALUE"""),"AWS Cloud Data Architect (m/w/d)")</f>
        <v>AWS Cloud Data Architect (m/w/d)</v>
      </c>
      <c r="D1450" s="7" t="str">
        <f>IFERROR(__xludf.DUMMYFUNCTION("""COMPUTED_VALUE"""),"Ismaning")</f>
        <v>Ismaning</v>
      </c>
      <c r="E1450" s="7" t="str">
        <f>IFERROR(__xludf.DUMMYFUNCTION("""COMPUTED_VALUE"""),"TecAlliance GmbH")</f>
        <v>TecAlliance GmbH</v>
      </c>
      <c r="F1450" s="7" t="str">
        <f>IFERROR(__xludf.DUMMYFUNCTION("""COMPUTED_VALUE"""),"None")</f>
        <v>None</v>
      </c>
      <c r="G1450" s="7" t="str">
        <f>IFERROR(__xludf.DUMMYFUNCTION("""COMPUTED_VALUE"""),"No salary data")</f>
        <v>No salary data</v>
      </c>
      <c r="H1450" s="7" t="str">
        <f>IFERROR(__xludf.DUMMYFUNCTION("""COMPUTED_VALUE"""),"No salary data")</f>
        <v>No salary data</v>
      </c>
      <c r="I1450" s="7" t="str">
        <f>IFERROR(__xludf.DUMMYFUNCTION("""COMPUTED_VALUE"""),"No salary data")</f>
        <v>No salary data</v>
      </c>
      <c r="J1450" s="7" t="str">
        <f>IFERROR(__xludf.DUMMYFUNCTION("""COMPUTED_VALUE"""),"SQL, Git, Agile")</f>
        <v>SQL, Git, Agile</v>
      </c>
      <c r="K1450" s="7" t="str">
        <f>IFERROR(__xludf.DUMMYFUNCTION("""COMPUTED_VALUE"""),"No job type data")</f>
        <v>No job type data</v>
      </c>
      <c r="L1450" s="7" t="str">
        <f>IFERROR(__xludf.DUMMYFUNCTION("""COMPUTED_VALUE"""),"4,5")</f>
        <v>4,5</v>
      </c>
      <c r="M1450" s="7"/>
      <c r="N1450" s="7"/>
      <c r="O1450" s="7"/>
    </row>
    <row r="1451">
      <c r="A1451" s="29">
        <f>IFERROR(__xludf.DUMMYFUNCTION("""COMPUTED_VALUE"""),1447.0)</f>
        <v>1447</v>
      </c>
      <c r="B1451" s="7" t="str">
        <f>IFERROR(__xludf.DUMMYFUNCTION("""COMPUTED_VALUE"""),"vor 3 Tagen")</f>
        <v>vor 3 Tagen</v>
      </c>
      <c r="C1451" s="7" t="str">
        <f>IFERROR(__xludf.DUMMYFUNCTION("""COMPUTED_VALUE"""),"Für Freelancer: Software Engineer (PLAPP) (m/w/d) - 54087/FL")</f>
        <v>Für Freelancer: Software Engineer (PLAPP) (m/w/d) - 54087/FL</v>
      </c>
      <c r="D1451" s="7" t="str">
        <f>IFERROR(__xludf.DUMMYFUNCTION("""COMPUTED_VALUE"""),"Darmstadt")</f>
        <v>Darmstadt</v>
      </c>
      <c r="E1451" s="7" t="str">
        <f>IFERROR(__xludf.DUMMYFUNCTION("""COMPUTED_VALUE"""),"None")</f>
        <v>None</v>
      </c>
      <c r="F1451" s="7" t="str">
        <f>IFERROR(__xludf.DUMMYFUNCTION("""COMPUTED_VALUE"""),"None")</f>
        <v>None</v>
      </c>
      <c r="G1451" s="7" t="str">
        <f>IFERROR(__xludf.DUMMYFUNCTION("""COMPUTED_VALUE"""),"No salary data")</f>
        <v>No salary data</v>
      </c>
      <c r="H1451" s="7" t="str">
        <f>IFERROR(__xludf.DUMMYFUNCTION("""COMPUTED_VALUE"""),"No salary data")</f>
        <v>No salary data</v>
      </c>
      <c r="I1451" s="7" t="str">
        <f>IFERROR(__xludf.DUMMYFUNCTION("""COMPUTED_VALUE"""),"No salary data")</f>
        <v>No salary data</v>
      </c>
      <c r="J1451" s="7" t="str">
        <f>IFERROR(__xludf.DUMMYFUNCTION("""COMPUTED_VALUE"""),"SQL")</f>
        <v>SQL</v>
      </c>
      <c r="K1451" s="7" t="str">
        <f>IFERROR(__xludf.DUMMYFUNCTION("""COMPUTED_VALUE"""),"No job type data")</f>
        <v>No job type data</v>
      </c>
      <c r="L1451" s="7" t="str">
        <f>IFERROR(__xludf.DUMMYFUNCTION("""COMPUTED_VALUE"""),"None")</f>
        <v>None</v>
      </c>
      <c r="M1451" s="7"/>
      <c r="N1451" s="7"/>
      <c r="O1451" s="7"/>
    </row>
    <row r="1452">
      <c r="A1452" s="29">
        <f>IFERROR(__xludf.DUMMYFUNCTION("""COMPUTED_VALUE"""),1448.0)</f>
        <v>1448</v>
      </c>
      <c r="B1452" s="7" t="str">
        <f>IFERROR(__xludf.DUMMYFUNCTION("""COMPUTED_VALUE"""),"Vor mehr als 30 Tagen")</f>
        <v>Vor mehr als 30 Tagen</v>
      </c>
      <c r="C1452" s="7" t="str">
        <f>IFERROR(__xludf.DUMMYFUNCTION("""COMPUTED_VALUE"""),"Für Freelancer: Oracle OBIEE Entwickler (m/w/d )")</f>
        <v>Für Freelancer: Oracle OBIEE Entwickler (m/w/d )</v>
      </c>
      <c r="D1452" s="7" t="str">
        <f>IFERROR(__xludf.DUMMYFUNCTION("""COMPUTED_VALUE"""),"Hamburg")</f>
        <v>Hamburg</v>
      </c>
      <c r="E1452" s="7" t="str">
        <f>IFERROR(__xludf.DUMMYFUNCTION("""COMPUTED_VALUE"""),"None")</f>
        <v>None</v>
      </c>
      <c r="F1452" s="7" t="str">
        <f>IFERROR(__xludf.DUMMYFUNCTION("""COMPUTED_VALUE"""),"None")</f>
        <v>None</v>
      </c>
      <c r="G1452" s="7" t="str">
        <f>IFERROR(__xludf.DUMMYFUNCTION("""COMPUTED_VALUE"""),"No salary data")</f>
        <v>No salary data</v>
      </c>
      <c r="H1452" s="7" t="str">
        <f>IFERROR(__xludf.DUMMYFUNCTION("""COMPUTED_VALUE"""),"No salary data")</f>
        <v>No salary data</v>
      </c>
      <c r="I1452" s="7" t="str">
        <f>IFERROR(__xludf.DUMMYFUNCTION("""COMPUTED_VALUE"""),"No salary data")</f>
        <v>No salary data</v>
      </c>
      <c r="J1452" s="7"/>
      <c r="K1452" s="7" t="str">
        <f>IFERROR(__xludf.DUMMYFUNCTION("""COMPUTED_VALUE"""),"No job type data")</f>
        <v>No job type data</v>
      </c>
      <c r="L1452" s="7" t="str">
        <f>IFERROR(__xludf.DUMMYFUNCTION("""COMPUTED_VALUE"""),"None")</f>
        <v>None</v>
      </c>
      <c r="M1452" s="7"/>
      <c r="N1452" s="7"/>
      <c r="O1452" s="7"/>
    </row>
    <row r="1453">
      <c r="A1453" s="29">
        <f>IFERROR(__xludf.DUMMYFUNCTION("""COMPUTED_VALUE"""),1449.0)</f>
        <v>1449</v>
      </c>
      <c r="B1453" s="7" t="str">
        <f>IFERROR(__xludf.DUMMYFUNCTION("""COMPUTED_VALUE"""),"Vor mehr als 30 Tagen")</f>
        <v>Vor mehr als 30 Tagen</v>
      </c>
      <c r="C1453" s="7" t="str">
        <f>IFERROR(__xludf.DUMMYFUNCTION("""COMPUTED_VALUE"""),"Für Freelancer: DHW Entwickler (m/w/d)")</f>
        <v>Für Freelancer: DHW Entwickler (m/w/d)</v>
      </c>
      <c r="D1453" s="7" t="str">
        <f>IFERROR(__xludf.DUMMYFUNCTION("""COMPUTED_VALUE"""),"München")</f>
        <v>München</v>
      </c>
      <c r="E1453" s="7" t="str">
        <f>IFERROR(__xludf.DUMMYFUNCTION("""COMPUTED_VALUE"""),"None")</f>
        <v>None</v>
      </c>
      <c r="F1453" s="7" t="str">
        <f>IFERROR(__xludf.DUMMYFUNCTION("""COMPUTED_VALUE"""),"None")</f>
        <v>None</v>
      </c>
      <c r="G1453" s="7" t="str">
        <f>IFERROR(__xludf.DUMMYFUNCTION("""COMPUTED_VALUE"""),"No salary data")</f>
        <v>No salary data</v>
      </c>
      <c r="H1453" s="7" t="str">
        <f>IFERROR(__xludf.DUMMYFUNCTION("""COMPUTED_VALUE"""),"No salary data")</f>
        <v>No salary data</v>
      </c>
      <c r="I1453" s="7" t="str">
        <f>IFERROR(__xludf.DUMMYFUNCTION("""COMPUTED_VALUE"""),"No salary data")</f>
        <v>No salary data</v>
      </c>
      <c r="J1453" s="7" t="str">
        <f>IFERROR(__xludf.DUMMYFUNCTION("""COMPUTED_VALUE"""),"Python")</f>
        <v>Python</v>
      </c>
      <c r="K1453" s="7" t="str">
        <f>IFERROR(__xludf.DUMMYFUNCTION("""COMPUTED_VALUE"""),"No job type data")</f>
        <v>No job type data</v>
      </c>
      <c r="L1453" s="7" t="str">
        <f>IFERROR(__xludf.DUMMYFUNCTION("""COMPUTED_VALUE"""),"None")</f>
        <v>None</v>
      </c>
      <c r="M1453" s="7"/>
      <c r="N1453" s="7"/>
      <c r="O1453" s="7"/>
    </row>
    <row r="1454">
      <c r="A1454" s="29">
        <f>IFERROR(__xludf.DUMMYFUNCTION("""COMPUTED_VALUE"""),1450.0)</f>
        <v>1450</v>
      </c>
      <c r="B1454" s="7" t="str">
        <f>IFERROR(__xludf.DUMMYFUNCTION("""COMPUTED_VALUE"""),"vor 10 Tagen")</f>
        <v>vor 10 Tagen</v>
      </c>
      <c r="C1454" s="7" t="str">
        <f>IFERROR(__xludf.DUMMYFUNCTION("""COMPUTED_VALUE"""),"Für Freelancer: SIEM Engineer/Specialist")</f>
        <v>Für Freelancer: SIEM Engineer/Specialist</v>
      </c>
      <c r="D1454" s="7" t="str">
        <f>IFERROR(__xludf.DUMMYFUNCTION("""COMPUTED_VALUE"""),"Berlin")</f>
        <v>Berlin</v>
      </c>
      <c r="E1454" s="7" t="str">
        <f>IFERROR(__xludf.DUMMYFUNCTION("""COMPUTED_VALUE"""),"None")</f>
        <v>None</v>
      </c>
      <c r="F1454" s="7" t="str">
        <f>IFERROR(__xludf.DUMMYFUNCTION("""COMPUTED_VALUE"""),"None")</f>
        <v>None</v>
      </c>
      <c r="G1454" s="7" t="str">
        <f>IFERROR(__xludf.DUMMYFUNCTION("""COMPUTED_VALUE"""),"No salary data")</f>
        <v>No salary data</v>
      </c>
      <c r="H1454" s="7" t="str">
        <f>IFERROR(__xludf.DUMMYFUNCTION("""COMPUTED_VALUE"""),"No salary data")</f>
        <v>No salary data</v>
      </c>
      <c r="I1454" s="7" t="str">
        <f>IFERROR(__xludf.DUMMYFUNCTION("""COMPUTED_VALUE"""),"No salary data")</f>
        <v>No salary data</v>
      </c>
      <c r="J1454" s="7" t="str">
        <f>IFERROR(__xludf.DUMMYFUNCTION("""COMPUTED_VALUE"""),"Python, Linux")</f>
        <v>Python, Linux</v>
      </c>
      <c r="K1454" s="7" t="str">
        <f>IFERROR(__xludf.DUMMYFUNCTION("""COMPUTED_VALUE"""),"Contract")</f>
        <v>Contract</v>
      </c>
      <c r="L1454" s="7" t="str">
        <f>IFERROR(__xludf.DUMMYFUNCTION("""COMPUTED_VALUE"""),"None")</f>
        <v>None</v>
      </c>
      <c r="M1454" s="7"/>
      <c r="N1454" s="7"/>
      <c r="O1454" s="7"/>
    </row>
    <row r="1455">
      <c r="A1455" s="29">
        <f>IFERROR(__xludf.DUMMYFUNCTION("""COMPUTED_VALUE"""),1451.0)</f>
        <v>1451</v>
      </c>
      <c r="B1455" s="7" t="str">
        <f>IFERROR(__xludf.DUMMYFUNCTION("""COMPUTED_VALUE"""),"vor 18 Tagen")</f>
        <v>vor 18 Tagen</v>
      </c>
      <c r="C1455" s="7" t="str">
        <f>IFERROR(__xludf.DUMMYFUNCTION("""COMPUTED_VALUE"""),"Data Center Technician")</f>
        <v>Data Center Technician</v>
      </c>
      <c r="D1455" s="7" t="str">
        <f>IFERROR(__xludf.DUMMYFUNCTION("""COMPUTED_VALUE"""),"Deutschland")</f>
        <v>Deutschland</v>
      </c>
      <c r="E1455" s="7" t="str">
        <f>IFERROR(__xludf.DUMMYFUNCTION("""COMPUTED_VALUE"""),"Amazon Web Services (AWS)")</f>
        <v>Amazon Web Services (AWS)</v>
      </c>
      <c r="F1455" s="7" t="str">
        <f>IFERROR(__xludf.DUMMYFUNCTION("""COMPUTED_VALUE"""),"None")</f>
        <v>None</v>
      </c>
      <c r="G1455" s="7" t="str">
        <f>IFERROR(__xludf.DUMMYFUNCTION("""COMPUTED_VALUE"""),"No salary data")</f>
        <v>No salary data</v>
      </c>
      <c r="H1455" s="7" t="str">
        <f>IFERROR(__xludf.DUMMYFUNCTION("""COMPUTED_VALUE"""),"No salary data")</f>
        <v>No salary data</v>
      </c>
      <c r="I1455" s="7" t="str">
        <f>IFERROR(__xludf.DUMMYFUNCTION("""COMPUTED_VALUE"""),"No salary data")</f>
        <v>No salary data</v>
      </c>
      <c r="J1455" s="7" t="str">
        <f>IFERROR(__xludf.DUMMYFUNCTION("""COMPUTED_VALUE"""),"Python, Linux")</f>
        <v>Python, Linux</v>
      </c>
      <c r="K1455" s="7" t="str">
        <f>IFERROR(__xludf.DUMMYFUNCTION("""COMPUTED_VALUE"""),"No job type data")</f>
        <v>No job type data</v>
      </c>
      <c r="L1455" s="7" t="str">
        <f>IFERROR(__xludf.DUMMYFUNCTION("""COMPUTED_VALUE"""),"3,6")</f>
        <v>3,6</v>
      </c>
      <c r="M1455" s="7"/>
      <c r="N1455" s="7"/>
      <c r="O1455" s="7"/>
    </row>
    <row r="1456">
      <c r="A1456" s="29">
        <f>IFERROR(__xludf.DUMMYFUNCTION("""COMPUTED_VALUE"""),1452.0)</f>
        <v>1452</v>
      </c>
      <c r="B1456" s="7" t="str">
        <f>IFERROR(__xludf.DUMMYFUNCTION("""COMPUTED_VALUE"""),"Vor mehr als 30 Tagen")</f>
        <v>Vor mehr als 30 Tagen</v>
      </c>
      <c r="C1456" s="7" t="str">
        <f>IFERROR(__xludf.DUMMYFUNCTION("""COMPUTED_VALUE"""),"Für Freelancer: Endkundenanfrage ID-2480: Analyst, Architect...")</f>
        <v>Für Freelancer: Endkundenanfrage ID-2480: Analyst, Architect...</v>
      </c>
      <c r="D1456" s="7" t="str">
        <f>IFERROR(__xludf.DUMMYFUNCTION("""COMPUTED_VALUE"""),"Essen")</f>
        <v>Essen</v>
      </c>
      <c r="E1456" s="7" t="str">
        <f>IFERROR(__xludf.DUMMYFUNCTION("""COMPUTED_VALUE"""),"None")</f>
        <v>None</v>
      </c>
      <c r="F1456" s="7" t="str">
        <f>IFERROR(__xludf.DUMMYFUNCTION("""COMPUTED_VALUE"""),"None")</f>
        <v>None</v>
      </c>
      <c r="G1456" s="7" t="str">
        <f>IFERROR(__xludf.DUMMYFUNCTION("""COMPUTED_VALUE"""),"No salary data")</f>
        <v>No salary data</v>
      </c>
      <c r="H1456" s="7" t="str">
        <f>IFERROR(__xludf.DUMMYFUNCTION("""COMPUTED_VALUE"""),"No salary data")</f>
        <v>No salary data</v>
      </c>
      <c r="I1456" s="7" t="str">
        <f>IFERROR(__xludf.DUMMYFUNCTION("""COMPUTED_VALUE"""),"No salary data")</f>
        <v>No salary data</v>
      </c>
      <c r="J1456" s="7" t="str">
        <f>IFERROR(__xludf.DUMMYFUNCTION("""COMPUTED_VALUE"""),"Git")</f>
        <v>Git</v>
      </c>
      <c r="K1456" s="7" t="str">
        <f>IFERROR(__xludf.DUMMYFUNCTION("""COMPUTED_VALUE"""),"No job type data")</f>
        <v>No job type data</v>
      </c>
      <c r="L1456" s="7" t="str">
        <f>IFERROR(__xludf.DUMMYFUNCTION("""COMPUTED_VALUE"""),"None")</f>
        <v>None</v>
      </c>
      <c r="M1456" s="7"/>
      <c r="N1456" s="7"/>
      <c r="O1456" s="7"/>
    </row>
    <row r="1457">
      <c r="A1457" s="29">
        <f>IFERROR(__xludf.DUMMYFUNCTION("""COMPUTED_VALUE"""),1453.0)</f>
        <v>1453</v>
      </c>
      <c r="B1457" s="7" t="str">
        <f>IFERROR(__xludf.DUMMYFUNCTION("""COMPUTED_VALUE"""),"vor 3 Tagen")</f>
        <v>vor 3 Tagen</v>
      </c>
      <c r="C1457" s="7" t="str">
        <f>IFERROR(__xludf.DUMMYFUNCTION("""COMPUTED_VALUE"""),"Für Freelancer: Consultant Infor BIRST (m/f/d)")</f>
        <v>Für Freelancer: Consultant Infor BIRST (m/f/d)</v>
      </c>
      <c r="D1457" s="7" t="str">
        <f>IFERROR(__xludf.DUMMYFUNCTION("""COMPUTED_VALUE"""),"Baden-Württemberg")</f>
        <v>Baden-Württemberg</v>
      </c>
      <c r="E1457" s="7" t="str">
        <f>IFERROR(__xludf.DUMMYFUNCTION("""COMPUTED_VALUE"""),"None")</f>
        <v>None</v>
      </c>
      <c r="F1457" s="7" t="str">
        <f>IFERROR(__xludf.DUMMYFUNCTION("""COMPUTED_VALUE"""),"None")</f>
        <v>None</v>
      </c>
      <c r="G1457" s="7" t="str">
        <f>IFERROR(__xludf.DUMMYFUNCTION("""COMPUTED_VALUE"""),"No salary data")</f>
        <v>No salary data</v>
      </c>
      <c r="H1457" s="7" t="str">
        <f>IFERROR(__xludf.DUMMYFUNCTION("""COMPUTED_VALUE"""),"No salary data")</f>
        <v>No salary data</v>
      </c>
      <c r="I1457" s="7" t="str">
        <f>IFERROR(__xludf.DUMMYFUNCTION("""COMPUTED_VALUE"""),"No salary data")</f>
        <v>No salary data</v>
      </c>
      <c r="J1457" s="7" t="str">
        <f>IFERROR(__xludf.DUMMYFUNCTION("""COMPUTED_VALUE"""),"SQL")</f>
        <v>SQL</v>
      </c>
      <c r="K1457" s="7" t="str">
        <f>IFERROR(__xludf.DUMMYFUNCTION("""COMPUTED_VALUE"""),"No job type data")</f>
        <v>No job type data</v>
      </c>
      <c r="L1457" s="7" t="str">
        <f>IFERROR(__xludf.DUMMYFUNCTION("""COMPUTED_VALUE"""),"None")</f>
        <v>None</v>
      </c>
      <c r="M1457" s="7"/>
      <c r="N1457" s="7"/>
      <c r="O1457" s="7"/>
    </row>
    <row r="1458">
      <c r="A1458" s="29">
        <f>IFERROR(__xludf.DUMMYFUNCTION("""COMPUTED_VALUE"""),1454.0)</f>
        <v>1454</v>
      </c>
      <c r="B1458" s="7" t="str">
        <f>IFERROR(__xludf.DUMMYFUNCTION("""COMPUTED_VALUE"""),"Vor mehr als 30 Tagen")</f>
        <v>Vor mehr als 30 Tagen</v>
      </c>
      <c r="C1458" s="7" t="str">
        <f>IFERROR(__xludf.DUMMYFUNCTION("""COMPUTED_VALUE"""),"Für Freelancer: Projektleiter (m/w/d) Data Science")</f>
        <v>Für Freelancer: Projektleiter (m/w/d) Data Science</v>
      </c>
      <c r="D1458" s="7" t="str">
        <f>IFERROR(__xludf.DUMMYFUNCTION("""COMPUTED_VALUE"""),"Göppingen")</f>
        <v>Göppingen</v>
      </c>
      <c r="E1458" s="7" t="str">
        <f>IFERROR(__xludf.DUMMYFUNCTION("""COMPUTED_VALUE"""),"None")</f>
        <v>None</v>
      </c>
      <c r="F1458" s="7" t="str">
        <f>IFERROR(__xludf.DUMMYFUNCTION("""COMPUTED_VALUE"""),"None")</f>
        <v>None</v>
      </c>
      <c r="G1458" s="7" t="str">
        <f>IFERROR(__xludf.DUMMYFUNCTION("""COMPUTED_VALUE"""),"No salary data")</f>
        <v>No salary data</v>
      </c>
      <c r="H1458" s="7" t="str">
        <f>IFERROR(__xludf.DUMMYFUNCTION("""COMPUTED_VALUE"""),"No salary data")</f>
        <v>No salary data</v>
      </c>
      <c r="I1458" s="7" t="str">
        <f>IFERROR(__xludf.DUMMYFUNCTION("""COMPUTED_VALUE"""),"No salary data")</f>
        <v>No salary data</v>
      </c>
      <c r="J1458" s="7" t="str">
        <f>IFERROR(__xludf.DUMMYFUNCTION("""COMPUTED_VALUE"""),"Agile, Scrum, Kanban")</f>
        <v>Agile, Scrum, Kanban</v>
      </c>
      <c r="K1458" s="7" t="str">
        <f>IFERROR(__xludf.DUMMYFUNCTION("""COMPUTED_VALUE"""),"No job type data")</f>
        <v>No job type data</v>
      </c>
      <c r="L1458" s="7" t="str">
        <f>IFERROR(__xludf.DUMMYFUNCTION("""COMPUTED_VALUE"""),"None")</f>
        <v>None</v>
      </c>
      <c r="M1458" s="7"/>
      <c r="N1458" s="7"/>
      <c r="O1458" s="7"/>
    </row>
    <row r="1459">
      <c r="A1459" s="29">
        <f>IFERROR(__xludf.DUMMYFUNCTION("""COMPUTED_VALUE"""),1455.0)</f>
        <v>1455</v>
      </c>
      <c r="B1459" s="7" t="str">
        <f>IFERROR(__xludf.DUMMYFUNCTION("""COMPUTED_VALUE"""),"vor 5 Tagen")</f>
        <v>vor 5 Tagen</v>
      </c>
      <c r="C1459" s="7" t="str">
        <f>IFERROR(__xludf.DUMMYFUNCTION("""COMPUTED_VALUE"""),"Für Freelancer: Freelance Coaching Projekt IAM (Keycloak)")</f>
        <v>Für Freelancer: Freelance Coaching Projekt IAM (Keycloak)</v>
      </c>
      <c r="D1459" s="7" t="str">
        <f>IFERROR(__xludf.DUMMYFUNCTION("""COMPUTED_VALUE"""),"Karlsruhe")</f>
        <v>Karlsruhe</v>
      </c>
      <c r="E1459" s="7" t="str">
        <f>IFERROR(__xludf.DUMMYFUNCTION("""COMPUTED_VALUE"""),"None")</f>
        <v>None</v>
      </c>
      <c r="F1459" s="7" t="str">
        <f>IFERROR(__xludf.DUMMYFUNCTION("""COMPUTED_VALUE"""),"None")</f>
        <v>None</v>
      </c>
      <c r="G1459" s="7" t="str">
        <f>IFERROR(__xludf.DUMMYFUNCTION("""COMPUTED_VALUE"""),"No salary data")</f>
        <v>No salary data</v>
      </c>
      <c r="H1459" s="7" t="str">
        <f>IFERROR(__xludf.DUMMYFUNCTION("""COMPUTED_VALUE"""),"No salary data")</f>
        <v>No salary data</v>
      </c>
      <c r="I1459" s="7" t="str">
        <f>IFERROR(__xludf.DUMMYFUNCTION("""COMPUTED_VALUE"""),"No salary data")</f>
        <v>No salary data</v>
      </c>
      <c r="J1459" s="7"/>
      <c r="K1459" s="7" t="str">
        <f>IFERROR(__xludf.DUMMYFUNCTION("""COMPUTED_VALUE"""),"No job type data")</f>
        <v>No job type data</v>
      </c>
      <c r="L1459" s="7" t="str">
        <f>IFERROR(__xludf.DUMMYFUNCTION("""COMPUTED_VALUE"""),"None")</f>
        <v>None</v>
      </c>
      <c r="M1459" s="7"/>
      <c r="N1459" s="7"/>
      <c r="O1459" s="7"/>
    </row>
    <row r="1460">
      <c r="A1460" s="29">
        <f>IFERROR(__xludf.DUMMYFUNCTION("""COMPUTED_VALUE"""),1456.0)</f>
        <v>1456</v>
      </c>
      <c r="B1460" s="7" t="str">
        <f>IFERROR(__xludf.DUMMYFUNCTION("""COMPUTED_VALUE"""),"Vor mehr als 30 Tagen")</f>
        <v>Vor mehr als 30 Tagen</v>
      </c>
      <c r="C1460" s="7" t="str">
        <f>IFERROR(__xludf.DUMMYFUNCTION("""COMPUTED_VALUE"""),"Für Freelancer: Power BI Entwickler (m/w/x)")</f>
        <v>Für Freelancer: Power BI Entwickler (m/w/x)</v>
      </c>
      <c r="D1460" s="7" t="str">
        <f>IFERROR(__xludf.DUMMYFUNCTION("""COMPUTED_VALUE"""),"Münster")</f>
        <v>Münster</v>
      </c>
      <c r="E1460" s="7" t="str">
        <f>IFERROR(__xludf.DUMMYFUNCTION("""COMPUTED_VALUE"""),"None")</f>
        <v>None</v>
      </c>
      <c r="F1460" s="7" t="str">
        <f>IFERROR(__xludf.DUMMYFUNCTION("""COMPUTED_VALUE"""),"None")</f>
        <v>None</v>
      </c>
      <c r="G1460" s="7" t="str">
        <f>IFERROR(__xludf.DUMMYFUNCTION("""COMPUTED_VALUE"""),"No salary data")</f>
        <v>No salary data</v>
      </c>
      <c r="H1460" s="7" t="str">
        <f>IFERROR(__xludf.DUMMYFUNCTION("""COMPUTED_VALUE"""),"No salary data")</f>
        <v>No salary data</v>
      </c>
      <c r="I1460" s="7" t="str">
        <f>IFERROR(__xludf.DUMMYFUNCTION("""COMPUTED_VALUE"""),"No salary data")</f>
        <v>No salary data</v>
      </c>
      <c r="J1460" s="7" t="str">
        <f>IFERROR(__xludf.DUMMYFUNCTION("""COMPUTED_VALUE"""),"SQL")</f>
        <v>SQL</v>
      </c>
      <c r="K1460" s="7" t="str">
        <f>IFERROR(__xludf.DUMMYFUNCTION("""COMPUTED_VALUE"""),"No job type data")</f>
        <v>No job type data</v>
      </c>
      <c r="L1460" s="7" t="str">
        <f>IFERROR(__xludf.DUMMYFUNCTION("""COMPUTED_VALUE"""),"None")</f>
        <v>None</v>
      </c>
      <c r="M1460" s="7"/>
      <c r="N1460" s="7"/>
      <c r="O1460" s="7"/>
    </row>
    <row r="1461">
      <c r="A1461" s="29">
        <f>IFERROR(__xludf.DUMMYFUNCTION("""COMPUTED_VALUE"""),1457.0)</f>
        <v>1457</v>
      </c>
      <c r="B1461" s="7" t="str">
        <f>IFERROR(__xludf.DUMMYFUNCTION("""COMPUTED_VALUE"""),"vor 24 Tagen")</f>
        <v>vor 24 Tagen</v>
      </c>
      <c r="C1461" s="7" t="str">
        <f>IFERROR(__xludf.DUMMYFUNCTION("""COMPUTED_VALUE"""),"Research Consultant - Meta Analysis")</f>
        <v>Research Consultant - Meta Analysis</v>
      </c>
      <c r="D1461" s="7" t="str">
        <f>IFERROR(__xludf.DUMMYFUNCTION("""COMPUTED_VALUE"""),"Deutschland")</f>
        <v>Deutschland</v>
      </c>
      <c r="E1461" s="7" t="str">
        <f>IFERROR(__xludf.DUMMYFUNCTION("""COMPUTED_VALUE"""),"Barrington James")</f>
        <v>Barrington James</v>
      </c>
      <c r="F1461" s="7" t="str">
        <f>IFERROR(__xludf.DUMMYFUNCTION("""COMPUTED_VALUE"""),"None")</f>
        <v>None</v>
      </c>
      <c r="G1461" s="7" t="str">
        <f>IFERROR(__xludf.DUMMYFUNCTION("""COMPUTED_VALUE"""),"No salary data")</f>
        <v>No salary data</v>
      </c>
      <c r="H1461" s="7" t="str">
        <f>IFERROR(__xludf.DUMMYFUNCTION("""COMPUTED_VALUE"""),"No salary data")</f>
        <v>No salary data</v>
      </c>
      <c r="I1461" s="7" t="str">
        <f>IFERROR(__xludf.DUMMYFUNCTION("""COMPUTED_VALUE"""),"No salary data")</f>
        <v>No salary data</v>
      </c>
      <c r="J1461" s="7" t="str">
        <f>IFERROR(__xludf.DUMMYFUNCTION("""COMPUTED_VALUE"""),"Statistic")</f>
        <v>Statistic</v>
      </c>
      <c r="K1461" s="7" t="str">
        <f>IFERROR(__xludf.DUMMYFUNCTION("""COMPUTED_VALUE"""),"No job type data")</f>
        <v>No job type data</v>
      </c>
      <c r="L1461" s="7" t="str">
        <f>IFERROR(__xludf.DUMMYFUNCTION("""COMPUTED_VALUE"""),"None")</f>
        <v>None</v>
      </c>
      <c r="M1461" s="7"/>
      <c r="N1461" s="7"/>
      <c r="O1461" s="7"/>
    </row>
    <row r="1462">
      <c r="A1462" s="29">
        <f>IFERROR(__xludf.DUMMYFUNCTION("""COMPUTED_VALUE"""),1458.0)</f>
        <v>1458</v>
      </c>
      <c r="B1462" s="7" t="str">
        <f>IFERROR(__xludf.DUMMYFUNCTION("""COMPUTED_VALUE"""),"Vor mehr als 30 Tagen")</f>
        <v>Vor mehr als 30 Tagen</v>
      </c>
      <c r="C1462" s="7" t="str">
        <f>IFERROR(__xludf.DUMMYFUNCTION("""COMPUTED_VALUE"""),"Java Software-Entwickler (m/w/d) für Backend")</f>
        <v>Java Software-Entwickler (m/w/d) für Backend</v>
      </c>
      <c r="D1462" s="7" t="str">
        <f>IFERROR(__xludf.DUMMYFUNCTION("""COMPUTED_VALUE"""),"München")</f>
        <v>München</v>
      </c>
      <c r="E1462" s="7" t="str">
        <f>IFERROR(__xludf.DUMMYFUNCTION("""COMPUTED_VALUE"""),"Ippen Digital GmbH &amp; Co. KG")</f>
        <v>Ippen Digital GmbH &amp; Co. KG</v>
      </c>
      <c r="F1462" s="7" t="str">
        <f>IFERROR(__xludf.DUMMYFUNCTION("""COMPUTED_VALUE"""),"None")</f>
        <v>None</v>
      </c>
      <c r="G1462" s="7" t="str">
        <f>IFERROR(__xludf.DUMMYFUNCTION("""COMPUTED_VALUE"""),"No salary data")</f>
        <v>No salary data</v>
      </c>
      <c r="H1462" s="7" t="str">
        <f>IFERROR(__xludf.DUMMYFUNCTION("""COMPUTED_VALUE"""),"No salary data")</f>
        <v>No salary data</v>
      </c>
      <c r="I1462" s="7" t="str">
        <f>IFERROR(__xludf.DUMMYFUNCTION("""COMPUTED_VALUE"""),"No salary data")</f>
        <v>No salary data</v>
      </c>
      <c r="J1462" s="7" t="str">
        <f>IFERROR(__xludf.DUMMYFUNCTION("""COMPUTED_VALUE"""),"SQL, Git, Agile, Scrum, Kanban")</f>
        <v>SQL, Git, Agile, Scrum, Kanban</v>
      </c>
      <c r="K1462" s="7" t="str">
        <f>IFERROR(__xludf.DUMMYFUNCTION("""COMPUTED_VALUE"""),"No job type data")</f>
        <v>No job type data</v>
      </c>
      <c r="L1462" s="7" t="str">
        <f>IFERROR(__xludf.DUMMYFUNCTION("""COMPUTED_VALUE"""),"None")</f>
        <v>None</v>
      </c>
      <c r="M1462" s="7"/>
      <c r="N1462" s="7"/>
      <c r="O1462" s="7"/>
    </row>
    <row r="1463">
      <c r="A1463" s="29">
        <f>IFERROR(__xludf.DUMMYFUNCTION("""COMPUTED_VALUE"""),1459.0)</f>
        <v>1459</v>
      </c>
      <c r="B1463" s="7" t="str">
        <f>IFERROR(__xludf.DUMMYFUNCTION("""COMPUTED_VALUE"""),"Heute")</f>
        <v>Heute</v>
      </c>
      <c r="C1463" s="7" t="str">
        <f>IFERROR(__xludf.DUMMYFUNCTION("""COMPUTED_VALUE"""),"Für Freelancer: C # / .Net Softwareentwickler (m/w/d)")</f>
        <v>Für Freelancer: C # / .Net Softwareentwickler (m/w/d)</v>
      </c>
      <c r="D1463" s="7" t="str">
        <f>IFERROR(__xludf.DUMMYFUNCTION("""COMPUTED_VALUE"""),"Frankfurt am Main")</f>
        <v>Frankfurt am Main</v>
      </c>
      <c r="E1463" s="7" t="str">
        <f>IFERROR(__xludf.DUMMYFUNCTION("""COMPUTED_VALUE"""),"None")</f>
        <v>None</v>
      </c>
      <c r="F1463" s="7" t="str">
        <f>IFERROR(__xludf.DUMMYFUNCTION("""COMPUTED_VALUE"""),"None")</f>
        <v>None</v>
      </c>
      <c r="G1463" s="7" t="str">
        <f>IFERROR(__xludf.DUMMYFUNCTION("""COMPUTED_VALUE"""),"No salary data")</f>
        <v>No salary data</v>
      </c>
      <c r="H1463" s="7" t="str">
        <f>IFERROR(__xludf.DUMMYFUNCTION("""COMPUTED_VALUE"""),"No salary data")</f>
        <v>No salary data</v>
      </c>
      <c r="I1463" s="7" t="str">
        <f>IFERROR(__xludf.DUMMYFUNCTION("""COMPUTED_VALUE"""),"No salary data")</f>
        <v>No salary data</v>
      </c>
      <c r="J1463" s="7" t="str">
        <f>IFERROR(__xludf.DUMMYFUNCTION("""COMPUTED_VALUE"""),"Python, Agile")</f>
        <v>Python, Agile</v>
      </c>
      <c r="K1463" s="7" t="str">
        <f>IFERROR(__xludf.DUMMYFUNCTION("""COMPUTED_VALUE"""),"No job type data")</f>
        <v>No job type data</v>
      </c>
      <c r="L1463" s="7" t="str">
        <f>IFERROR(__xludf.DUMMYFUNCTION("""COMPUTED_VALUE"""),"None")</f>
        <v>None</v>
      </c>
      <c r="M1463" s="7"/>
      <c r="N1463" s="7"/>
      <c r="O1463" s="7"/>
    </row>
    <row r="1464">
      <c r="A1464" s="29">
        <f>IFERROR(__xludf.DUMMYFUNCTION("""COMPUTED_VALUE"""),1460.0)</f>
        <v>1460</v>
      </c>
      <c r="B1464" s="7" t="str">
        <f>IFERROR(__xludf.DUMMYFUNCTION("""COMPUTED_VALUE"""),"vor 5 Tagen")</f>
        <v>vor 5 Tagen</v>
      </c>
      <c r="C1464" s="7" t="str">
        <f>IFERROR(__xludf.DUMMYFUNCTION("""COMPUTED_VALUE"""),"Scientific Programmer - Bioinformatics")</f>
        <v>Scientific Programmer - Bioinformatics</v>
      </c>
      <c r="D1464" s="7" t="str">
        <f>IFERROR(__xludf.DUMMYFUNCTION("""COMPUTED_VALUE"""),"Deutschland")</f>
        <v>Deutschland</v>
      </c>
      <c r="E1464" s="7" t="str">
        <f>IFERROR(__xludf.DUMMYFUNCTION("""COMPUTED_VALUE"""),"Proclinical Staffing")</f>
        <v>Proclinical Staffing</v>
      </c>
      <c r="F1464" s="7" t="str">
        <f>IFERROR(__xludf.DUMMYFUNCTION("""COMPUTED_VALUE"""),"None")</f>
        <v>None</v>
      </c>
      <c r="G1464" s="7" t="str">
        <f>IFERROR(__xludf.DUMMYFUNCTION("""COMPUTED_VALUE"""),"No salary data")</f>
        <v>No salary data</v>
      </c>
      <c r="H1464" s="7" t="str">
        <f>IFERROR(__xludf.DUMMYFUNCTION("""COMPUTED_VALUE"""),"No salary data")</f>
        <v>No salary data</v>
      </c>
      <c r="I1464" s="7" t="str">
        <f>IFERROR(__xludf.DUMMYFUNCTION("""COMPUTED_VALUE"""),"No salary data")</f>
        <v>No salary data</v>
      </c>
      <c r="J1464" s="7" t="str">
        <f>IFERROR(__xludf.DUMMYFUNCTION("""COMPUTED_VALUE"""),"Python, Excel")</f>
        <v>Python, Excel</v>
      </c>
      <c r="K1464" s="7" t="str">
        <f>IFERROR(__xludf.DUMMYFUNCTION("""COMPUTED_VALUE"""),"No job type data")</f>
        <v>No job type data</v>
      </c>
      <c r="L1464" s="7" t="str">
        <f>IFERROR(__xludf.DUMMYFUNCTION("""COMPUTED_VALUE"""),"None")</f>
        <v>None</v>
      </c>
      <c r="M1464" s="7"/>
      <c r="N1464" s="7"/>
      <c r="O1464" s="7"/>
    </row>
    <row r="1465">
      <c r="A1465" s="29">
        <f>IFERROR(__xludf.DUMMYFUNCTION("""COMPUTED_VALUE"""),1461.0)</f>
        <v>1461</v>
      </c>
      <c r="B1465" s="7" t="str">
        <f>IFERROR(__xludf.DUMMYFUNCTION("""COMPUTED_VALUE"""),"vor 24 Tagen")</f>
        <v>vor 24 Tagen</v>
      </c>
      <c r="C1465" s="7" t="str">
        <f>IFERROR(__xludf.DUMMYFUNCTION("""COMPUTED_VALUE"""),"Statistician- Meta Analysis")</f>
        <v>Statistician- Meta Analysis</v>
      </c>
      <c r="D1465" s="7" t="str">
        <f>IFERROR(__xludf.DUMMYFUNCTION("""COMPUTED_VALUE"""),"Deutschland")</f>
        <v>Deutschland</v>
      </c>
      <c r="E1465" s="7" t="str">
        <f>IFERROR(__xludf.DUMMYFUNCTION("""COMPUTED_VALUE"""),"Barrington James")</f>
        <v>Barrington James</v>
      </c>
      <c r="F1465" s="7" t="str">
        <f>IFERROR(__xludf.DUMMYFUNCTION("""COMPUTED_VALUE"""),"None")</f>
        <v>None</v>
      </c>
      <c r="G1465" s="7" t="str">
        <f>IFERROR(__xludf.DUMMYFUNCTION("""COMPUTED_VALUE"""),"No salary data")</f>
        <v>No salary data</v>
      </c>
      <c r="H1465" s="7" t="str">
        <f>IFERROR(__xludf.DUMMYFUNCTION("""COMPUTED_VALUE"""),"No salary data")</f>
        <v>No salary data</v>
      </c>
      <c r="I1465" s="7" t="str">
        <f>IFERROR(__xludf.DUMMYFUNCTION("""COMPUTED_VALUE"""),"No salary data")</f>
        <v>No salary data</v>
      </c>
      <c r="J1465" s="7" t="str">
        <f>IFERROR(__xludf.DUMMYFUNCTION("""COMPUTED_VALUE"""),"Statistic")</f>
        <v>Statistic</v>
      </c>
      <c r="K1465" s="7" t="str">
        <f>IFERROR(__xludf.DUMMYFUNCTION("""COMPUTED_VALUE"""),"No job type data")</f>
        <v>No job type data</v>
      </c>
      <c r="L1465" s="7" t="str">
        <f>IFERROR(__xludf.DUMMYFUNCTION("""COMPUTED_VALUE"""),"None")</f>
        <v>None</v>
      </c>
      <c r="M1465" s="7"/>
      <c r="N1465" s="7"/>
      <c r="O1465" s="7"/>
    </row>
    <row r="1466">
      <c r="A1466" s="29">
        <f>IFERROR(__xludf.DUMMYFUNCTION("""COMPUTED_VALUE"""),1462.0)</f>
        <v>1462</v>
      </c>
      <c r="B1466" s="7" t="str">
        <f>IFERROR(__xludf.DUMMYFUNCTION("""COMPUTED_VALUE"""),"vor 1 Tag")</f>
        <v>vor 1 Tag</v>
      </c>
      <c r="C1466" s="7" t="str">
        <f>IFERROR(__xludf.DUMMYFUNCTION("""COMPUTED_VALUE"""),"Clinical Research Associate")</f>
        <v>Clinical Research Associate</v>
      </c>
      <c r="D1466" s="7" t="str">
        <f>IFERROR(__xludf.DUMMYFUNCTION("""COMPUTED_VALUE"""),"Deutschland")</f>
        <v>Deutschland</v>
      </c>
      <c r="E1466" s="7" t="str">
        <f>IFERROR(__xludf.DUMMYFUNCTION("""COMPUTED_VALUE"""),"Advanced Clinical")</f>
        <v>Advanced Clinical</v>
      </c>
      <c r="F1466" s="7" t="str">
        <f>IFERROR(__xludf.DUMMYFUNCTION("""COMPUTED_VALUE"""),"None")</f>
        <v>None</v>
      </c>
      <c r="G1466" s="7" t="str">
        <f>IFERROR(__xludf.DUMMYFUNCTION("""COMPUTED_VALUE"""),"No salary data")</f>
        <v>No salary data</v>
      </c>
      <c r="H1466" s="7" t="str">
        <f>IFERROR(__xludf.DUMMYFUNCTION("""COMPUTED_VALUE"""),"No salary data")</f>
        <v>No salary data</v>
      </c>
      <c r="I1466" s="7" t="str">
        <f>IFERROR(__xludf.DUMMYFUNCTION("""COMPUTED_VALUE"""),"No salary data")</f>
        <v>No salary data</v>
      </c>
      <c r="J1466" s="7" t="str">
        <f>IFERROR(__xludf.DUMMYFUNCTION("""COMPUTED_VALUE"""),"Excel")</f>
        <v>Excel</v>
      </c>
      <c r="K1466" s="7" t="str">
        <f>IFERROR(__xludf.DUMMYFUNCTION("""COMPUTED_VALUE"""),"Contract")</f>
        <v>Contract</v>
      </c>
      <c r="L1466" s="7" t="str">
        <f>IFERROR(__xludf.DUMMYFUNCTION("""COMPUTED_VALUE"""),"None")</f>
        <v>None</v>
      </c>
      <c r="M1466" s="7"/>
      <c r="N1466" s="7"/>
      <c r="O1466" s="7"/>
    </row>
    <row r="1467">
      <c r="A1467" s="29">
        <f>IFERROR(__xludf.DUMMYFUNCTION("""COMPUTED_VALUE"""),1463.0)</f>
        <v>1463</v>
      </c>
      <c r="B1467" s="7" t="str">
        <f>IFERROR(__xludf.DUMMYFUNCTION("""COMPUTED_VALUE"""),"vor 6 Tagen")</f>
        <v>vor 6 Tagen</v>
      </c>
      <c r="C1467" s="7" t="str">
        <f>IFERROR(__xludf.DUMMYFUNCTION("""COMPUTED_VALUE"""),"Clinical Research Assistant")</f>
        <v>Clinical Research Assistant</v>
      </c>
      <c r="D1467" s="7" t="str">
        <f>IFERROR(__xludf.DUMMYFUNCTION("""COMPUTED_VALUE"""),"Deutschland")</f>
        <v>Deutschland</v>
      </c>
      <c r="E1467" s="7" t="str">
        <f>IFERROR(__xludf.DUMMYFUNCTION("""COMPUTED_VALUE"""),"Docs Global (Continental Europe)")</f>
        <v>Docs Global (Continental Europe)</v>
      </c>
      <c r="F1467" s="7" t="str">
        <f>IFERROR(__xludf.DUMMYFUNCTION("""COMPUTED_VALUE"""),"None")</f>
        <v>None</v>
      </c>
      <c r="G1467" s="7" t="str">
        <f>IFERROR(__xludf.DUMMYFUNCTION("""COMPUTED_VALUE"""),"No salary data")</f>
        <v>No salary data</v>
      </c>
      <c r="H1467" s="7" t="str">
        <f>IFERROR(__xludf.DUMMYFUNCTION("""COMPUTED_VALUE"""),"No salary data")</f>
        <v>No salary data</v>
      </c>
      <c r="I1467" s="7" t="str">
        <f>IFERROR(__xludf.DUMMYFUNCTION("""COMPUTED_VALUE"""),"No salary data")</f>
        <v>No salary data</v>
      </c>
      <c r="J1467" s="7"/>
      <c r="K1467" s="7" t="str">
        <f>IFERROR(__xludf.DUMMYFUNCTION("""COMPUTED_VALUE"""),"Permanent")</f>
        <v>Permanent</v>
      </c>
      <c r="L1467" s="7" t="str">
        <f>IFERROR(__xludf.DUMMYFUNCTION("""COMPUTED_VALUE"""),"None")</f>
        <v>None</v>
      </c>
      <c r="M1467" s="7"/>
      <c r="N1467" s="7"/>
      <c r="O1467" s="7"/>
    </row>
    <row r="1468">
      <c r="A1468" s="29">
        <f>IFERROR(__xludf.DUMMYFUNCTION("""COMPUTED_VALUE"""),1464.0)</f>
        <v>1464</v>
      </c>
      <c r="B1468" s="7" t="str">
        <f>IFERROR(__xludf.DUMMYFUNCTION("""COMPUTED_VALUE"""),"vor 14 Tagen")</f>
        <v>vor 14 Tagen</v>
      </c>
      <c r="C1468" s="7" t="str">
        <f>IFERROR(__xludf.DUMMYFUNCTION("""COMPUTED_VALUE"""),"Data collection Analyst Berlin 12 Month Contract")</f>
        <v>Data collection Analyst Berlin 12 Month Contract</v>
      </c>
      <c r="D1468" s="7" t="str">
        <f>IFERROR(__xludf.DUMMYFUNCTION("""COMPUTED_VALUE"""),"Berlin")</f>
        <v>Berlin</v>
      </c>
      <c r="E1468" s="7" t="str">
        <f>IFERROR(__xludf.DUMMYFUNCTION("""COMPUTED_VALUE"""),"Apollo Solutions")</f>
        <v>Apollo Solutions</v>
      </c>
      <c r="F1468" s="7" t="str">
        <f>IFERROR(__xludf.DUMMYFUNCTION("""COMPUTED_VALUE"""),"None")</f>
        <v>None</v>
      </c>
      <c r="G1468" s="7" t="str">
        <f>IFERROR(__xludf.DUMMYFUNCTION("""COMPUTED_VALUE"""),"No salary data")</f>
        <v>No salary data</v>
      </c>
      <c r="H1468" s="7" t="str">
        <f>IFERROR(__xludf.DUMMYFUNCTION("""COMPUTED_VALUE"""),"No salary data")</f>
        <v>No salary data</v>
      </c>
      <c r="I1468" s="7" t="str">
        <f>IFERROR(__xludf.DUMMYFUNCTION("""COMPUTED_VALUE"""),"No salary data")</f>
        <v>No salary data</v>
      </c>
      <c r="J1468" s="7" t="str">
        <f>IFERROR(__xludf.DUMMYFUNCTION("""COMPUTED_VALUE"""),"Git, Agile")</f>
        <v>Git, Agile</v>
      </c>
      <c r="K1468" s="7" t="str">
        <f>IFERROR(__xludf.DUMMYFUNCTION("""COMPUTED_VALUE"""),"Contract")</f>
        <v>Contract</v>
      </c>
      <c r="L1468" s="7" t="str">
        <f>IFERROR(__xludf.DUMMYFUNCTION("""COMPUTED_VALUE"""),"None")</f>
        <v>None</v>
      </c>
      <c r="M1468" s="7"/>
      <c r="N1468" s="7"/>
      <c r="O1468" s="7"/>
    </row>
    <row r="1469">
      <c r="A1469" s="29">
        <f>IFERROR(__xludf.DUMMYFUNCTION("""COMPUTED_VALUE"""),1465.0)</f>
        <v>1465</v>
      </c>
      <c r="B1469" s="7" t="str">
        <f>IFERROR(__xludf.DUMMYFUNCTION("""COMPUTED_VALUE"""),"vor 24 Tagen")</f>
        <v>vor 24 Tagen</v>
      </c>
      <c r="C1469" s="7" t="str">
        <f>IFERROR(__xludf.DUMMYFUNCTION("""COMPUTED_VALUE"""),"Research Consultant - Network Meta Analysis")</f>
        <v>Research Consultant - Network Meta Analysis</v>
      </c>
      <c r="D1469" s="7" t="str">
        <f>IFERROR(__xludf.DUMMYFUNCTION("""COMPUTED_VALUE"""),"Deutschland")</f>
        <v>Deutschland</v>
      </c>
      <c r="E1469" s="7" t="str">
        <f>IFERROR(__xludf.DUMMYFUNCTION("""COMPUTED_VALUE"""),"Barrington James")</f>
        <v>Barrington James</v>
      </c>
      <c r="F1469" s="7" t="str">
        <f>IFERROR(__xludf.DUMMYFUNCTION("""COMPUTED_VALUE"""),"None")</f>
        <v>None</v>
      </c>
      <c r="G1469" s="7" t="str">
        <f>IFERROR(__xludf.DUMMYFUNCTION("""COMPUTED_VALUE"""),"No salary data")</f>
        <v>No salary data</v>
      </c>
      <c r="H1469" s="7" t="str">
        <f>IFERROR(__xludf.DUMMYFUNCTION("""COMPUTED_VALUE"""),"No salary data")</f>
        <v>No salary data</v>
      </c>
      <c r="I1469" s="7" t="str">
        <f>IFERROR(__xludf.DUMMYFUNCTION("""COMPUTED_VALUE"""),"No salary data")</f>
        <v>No salary data</v>
      </c>
      <c r="J1469" s="7" t="str">
        <f>IFERROR(__xludf.DUMMYFUNCTION("""COMPUTED_VALUE"""),"Statistic")</f>
        <v>Statistic</v>
      </c>
      <c r="K1469" s="7" t="str">
        <f>IFERROR(__xludf.DUMMYFUNCTION("""COMPUTED_VALUE"""),"No job type data")</f>
        <v>No job type data</v>
      </c>
      <c r="L1469" s="7" t="str">
        <f>IFERROR(__xludf.DUMMYFUNCTION("""COMPUTED_VALUE"""),"None")</f>
        <v>None</v>
      </c>
      <c r="M1469" s="7"/>
      <c r="N1469" s="7"/>
      <c r="O1469" s="7"/>
    </row>
    <row r="1470">
      <c r="A1470" s="29">
        <f>IFERROR(__xludf.DUMMYFUNCTION("""COMPUTED_VALUE"""),1466.0)</f>
        <v>1466</v>
      </c>
      <c r="B1470" s="7" t="str">
        <f>IFERROR(__xludf.DUMMYFUNCTION("""COMPUTED_VALUE"""),"vor 17 Tagen")</f>
        <v>vor 17 Tagen</v>
      </c>
      <c r="C1470" s="7" t="str">
        <f>IFERROR(__xludf.DUMMYFUNCTION("""COMPUTED_VALUE"""),"Clinical Coordinator")</f>
        <v>Clinical Coordinator</v>
      </c>
      <c r="D1470" s="7" t="str">
        <f>IFERROR(__xludf.DUMMYFUNCTION("""COMPUTED_VALUE"""),"Deutschland")</f>
        <v>Deutschland</v>
      </c>
      <c r="E1470" s="7" t="str">
        <f>IFERROR(__xludf.DUMMYFUNCTION("""COMPUTED_VALUE"""),"Medella Life")</f>
        <v>Medella Life</v>
      </c>
      <c r="F1470" s="7" t="str">
        <f>IFERROR(__xludf.DUMMYFUNCTION("""COMPUTED_VALUE"""),"60,000 € pro Jahr")</f>
        <v>60,000 € pro Jahr</v>
      </c>
      <c r="G1470" s="7">
        <f>IFERROR(__xludf.DUMMYFUNCTION("""COMPUTED_VALUE"""),60000.0)</f>
        <v>60000</v>
      </c>
      <c r="H1470" s="7" t="str">
        <f>IFERROR(__xludf.DUMMYFUNCTION("""COMPUTED_VALUE"""),"Jahr")</f>
        <v>Jahr</v>
      </c>
      <c r="I1470" s="7">
        <f>IFERROR(__xludf.DUMMYFUNCTION("""COMPUTED_VALUE"""),60000.0)</f>
        <v>60000</v>
      </c>
      <c r="J1470" s="7" t="str">
        <f>IFERROR(__xludf.DUMMYFUNCTION("""COMPUTED_VALUE"""),"Excel")</f>
        <v>Excel</v>
      </c>
      <c r="K1470" s="7" t="str">
        <f>IFERROR(__xludf.DUMMYFUNCTION("""COMPUTED_VALUE"""),"Contract")</f>
        <v>Contract</v>
      </c>
      <c r="L1470" s="7" t="str">
        <f>IFERROR(__xludf.DUMMYFUNCTION("""COMPUTED_VALUE"""),"None")</f>
        <v>None</v>
      </c>
      <c r="M1470" s="7"/>
      <c r="N1470" s="7"/>
      <c r="O1470" s="7"/>
    </row>
    <row r="1471">
      <c r="A1471" s="29">
        <f>IFERROR(__xludf.DUMMYFUNCTION("""COMPUTED_VALUE"""),1467.0)</f>
        <v>1467</v>
      </c>
      <c r="B1471" s="7" t="str">
        <f>IFERROR(__xludf.DUMMYFUNCTION("""COMPUTED_VALUE"""),"vor 24 Tagen")</f>
        <v>vor 24 Tagen</v>
      </c>
      <c r="C1471" s="7" t="str">
        <f>IFERROR(__xludf.DUMMYFUNCTION("""COMPUTED_VALUE"""),"Statistician - Network Meta Analysis")</f>
        <v>Statistician - Network Meta Analysis</v>
      </c>
      <c r="D1471" s="7" t="str">
        <f>IFERROR(__xludf.DUMMYFUNCTION("""COMPUTED_VALUE"""),"Deutschland")</f>
        <v>Deutschland</v>
      </c>
      <c r="E1471" s="7" t="str">
        <f>IFERROR(__xludf.DUMMYFUNCTION("""COMPUTED_VALUE"""),"Barrington James")</f>
        <v>Barrington James</v>
      </c>
      <c r="F1471" s="7" t="str">
        <f>IFERROR(__xludf.DUMMYFUNCTION("""COMPUTED_VALUE"""),"None")</f>
        <v>None</v>
      </c>
      <c r="G1471" s="7" t="str">
        <f>IFERROR(__xludf.DUMMYFUNCTION("""COMPUTED_VALUE"""),"No salary data")</f>
        <v>No salary data</v>
      </c>
      <c r="H1471" s="7" t="str">
        <f>IFERROR(__xludf.DUMMYFUNCTION("""COMPUTED_VALUE"""),"No salary data")</f>
        <v>No salary data</v>
      </c>
      <c r="I1471" s="7" t="str">
        <f>IFERROR(__xludf.DUMMYFUNCTION("""COMPUTED_VALUE"""),"No salary data")</f>
        <v>No salary data</v>
      </c>
      <c r="J1471" s="7" t="str">
        <f>IFERROR(__xludf.DUMMYFUNCTION("""COMPUTED_VALUE"""),"Statistic")</f>
        <v>Statistic</v>
      </c>
      <c r="K1471" s="7" t="str">
        <f>IFERROR(__xludf.DUMMYFUNCTION("""COMPUTED_VALUE"""),"No job type data")</f>
        <v>No job type data</v>
      </c>
      <c r="L1471" s="7" t="str">
        <f>IFERROR(__xludf.DUMMYFUNCTION("""COMPUTED_VALUE"""),"None")</f>
        <v>None</v>
      </c>
      <c r="M1471" s="7"/>
      <c r="N1471" s="7"/>
      <c r="O1471" s="7"/>
    </row>
    <row r="1472">
      <c r="A1472" s="29">
        <f>IFERROR(__xludf.DUMMYFUNCTION("""COMPUTED_VALUE"""),1468.0)</f>
        <v>1468</v>
      </c>
      <c r="B1472" s="7" t="str">
        <f>IFERROR(__xludf.DUMMYFUNCTION("""COMPUTED_VALUE"""),"vor 16 Tagen")</f>
        <v>vor 16 Tagen</v>
      </c>
      <c r="C1472" s="7" t="str">
        <f>IFERROR(__xludf.DUMMYFUNCTION("""COMPUTED_VALUE"""),"Clinical Research Associate, Germany - M")</f>
        <v>Clinical Research Associate, Germany - M</v>
      </c>
      <c r="D1472" s="7" t="str">
        <f>IFERROR(__xludf.DUMMYFUNCTION("""COMPUTED_VALUE"""),"Deutschland")</f>
        <v>Deutschland</v>
      </c>
      <c r="E1472" s="7" t="str">
        <f>IFERROR(__xludf.DUMMYFUNCTION("""COMPUTED_VALUE"""),"CROMSOURCE")</f>
        <v>CROMSOURCE</v>
      </c>
      <c r="F1472" s="7" t="str">
        <f>IFERROR(__xludf.DUMMYFUNCTION("""COMPUTED_VALUE"""),"None")</f>
        <v>None</v>
      </c>
      <c r="G1472" s="7" t="str">
        <f>IFERROR(__xludf.DUMMYFUNCTION("""COMPUTED_VALUE"""),"No salary data")</f>
        <v>No salary data</v>
      </c>
      <c r="H1472" s="7" t="str">
        <f>IFERROR(__xludf.DUMMYFUNCTION("""COMPUTED_VALUE"""),"No salary data")</f>
        <v>No salary data</v>
      </c>
      <c r="I1472" s="7" t="str">
        <f>IFERROR(__xludf.DUMMYFUNCTION("""COMPUTED_VALUE"""),"No salary data")</f>
        <v>No salary data</v>
      </c>
      <c r="J1472" s="7"/>
      <c r="K1472" s="7" t="str">
        <f>IFERROR(__xludf.DUMMYFUNCTION("""COMPUTED_VALUE"""),"Contract")</f>
        <v>Contract</v>
      </c>
      <c r="L1472" s="7" t="str">
        <f>IFERROR(__xludf.DUMMYFUNCTION("""COMPUTED_VALUE"""),"None")</f>
        <v>None</v>
      </c>
      <c r="M1472" s="7"/>
      <c r="N1472" s="7"/>
      <c r="O1472" s="7"/>
    </row>
    <row r="1473">
      <c r="A1473" s="29">
        <f>IFERROR(__xludf.DUMMYFUNCTION("""COMPUTED_VALUE"""),1469.0)</f>
        <v>1469</v>
      </c>
      <c r="B1473" s="7" t="str">
        <f>IFERROR(__xludf.DUMMYFUNCTION("""COMPUTED_VALUE"""),"vor 4 Tagen")</f>
        <v>vor 4 Tagen</v>
      </c>
      <c r="C1473" s="7" t="str">
        <f>IFERROR(__xludf.DUMMYFUNCTION("""COMPUTED_VALUE"""),"Clinical Research Associate / Phase II&amp;III (m/f)")</f>
        <v>Clinical Research Associate / Phase II&amp;III (m/f)</v>
      </c>
      <c r="D1473" s="7" t="str">
        <f>IFERROR(__xludf.DUMMYFUNCTION("""COMPUTED_VALUE"""),"Deutschland")</f>
        <v>Deutschland</v>
      </c>
      <c r="E1473" s="7" t="str">
        <f>IFERROR(__xludf.DUMMYFUNCTION("""COMPUTED_VALUE"""),"Docs Global (Continental Europe)")</f>
        <v>Docs Global (Continental Europe)</v>
      </c>
      <c r="F1473" s="7" t="str">
        <f>IFERROR(__xludf.DUMMYFUNCTION("""COMPUTED_VALUE"""),"None")</f>
        <v>None</v>
      </c>
      <c r="G1473" s="7" t="str">
        <f>IFERROR(__xludf.DUMMYFUNCTION("""COMPUTED_VALUE"""),"No salary data")</f>
        <v>No salary data</v>
      </c>
      <c r="H1473" s="7" t="str">
        <f>IFERROR(__xludf.DUMMYFUNCTION("""COMPUTED_VALUE"""),"No salary data")</f>
        <v>No salary data</v>
      </c>
      <c r="I1473" s="7" t="str">
        <f>IFERROR(__xludf.DUMMYFUNCTION("""COMPUTED_VALUE"""),"No salary data")</f>
        <v>No salary data</v>
      </c>
      <c r="J1473" s="7"/>
      <c r="K1473" s="7" t="str">
        <f>IFERROR(__xludf.DUMMYFUNCTION("""COMPUTED_VALUE"""),"Permanent")</f>
        <v>Permanent</v>
      </c>
      <c r="L1473" s="7" t="str">
        <f>IFERROR(__xludf.DUMMYFUNCTION("""COMPUTED_VALUE"""),"None")</f>
        <v>None</v>
      </c>
      <c r="M1473" s="7"/>
      <c r="N1473" s="7"/>
      <c r="O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</row>
  </sheetData>
  <hyperlinks>
    <hyperlink r:id="rId1" ref="E128"/>
    <hyperlink r:id="rId2" ref="E304"/>
    <hyperlink r:id="rId3" ref="E36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9.71"/>
    <col customWidth="1" min="3" max="3" width="22.14"/>
    <col customWidth="1" min="4" max="4" width="68.14"/>
    <col customWidth="1" min="5" max="5" width="28.29"/>
    <col customWidth="1" min="6" max="6" width="66.86"/>
    <col customWidth="1" min="7" max="7" width="27.29"/>
    <col customWidth="1" min="8" max="8" width="15.0"/>
    <col customWidth="1" min="9" max="12" width="16.71"/>
    <col customWidth="1" min="13" max="13" width="15.86"/>
    <col customWidth="1" min="14" max="14" width="6.71"/>
    <col customWidth="1" min="15" max="15" width="15.0"/>
    <col customWidth="1" min="16" max="16" width="7.0"/>
  </cols>
  <sheetData>
    <row r="1">
      <c r="A1" s="31" t="s">
        <v>241</v>
      </c>
      <c r="B1" s="31" t="s">
        <v>242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7"/>
    </row>
    <row r="2">
      <c r="A2" s="32" t="s">
        <v>59</v>
      </c>
      <c r="B2" s="32" t="s">
        <v>43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7"/>
    </row>
    <row r="3">
      <c r="A3" s="31"/>
      <c r="B3" s="31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7"/>
    </row>
    <row r="4">
      <c r="C4" s="28"/>
      <c r="D4" s="28"/>
      <c r="E4" s="28"/>
      <c r="F4" s="28"/>
      <c r="G4" s="28"/>
      <c r="H4" s="28"/>
      <c r="I4" s="31"/>
      <c r="J4" s="31"/>
      <c r="K4" s="31"/>
      <c r="L4" s="31"/>
      <c r="M4" s="28"/>
      <c r="N4" s="28"/>
      <c r="O4" s="28"/>
      <c r="P4" s="28"/>
      <c r="Q4" s="7"/>
    </row>
    <row r="5">
      <c r="A5" s="33" t="s">
        <v>243</v>
      </c>
      <c r="B5" s="31" t="s">
        <v>244</v>
      </c>
      <c r="C5" s="31" t="s">
        <v>245</v>
      </c>
      <c r="D5" s="28" t="s">
        <v>246</v>
      </c>
      <c r="E5" s="28" t="s">
        <v>247</v>
      </c>
      <c r="F5" s="28" t="s">
        <v>210</v>
      </c>
      <c r="G5" s="28" t="s">
        <v>248</v>
      </c>
      <c r="H5" s="34" t="s">
        <v>249</v>
      </c>
      <c r="I5" s="31" t="s">
        <v>250</v>
      </c>
      <c r="J5" s="25" t="s">
        <v>251</v>
      </c>
      <c r="K5" s="28" t="s">
        <v>252</v>
      </c>
      <c r="L5" s="28" t="s">
        <v>253</v>
      </c>
      <c r="M5" s="28" t="s">
        <v>254</v>
      </c>
      <c r="N5" s="28" t="s">
        <v>255</v>
      </c>
      <c r="O5" s="7"/>
      <c r="P5" s="35"/>
      <c r="Q5" s="7"/>
    </row>
    <row r="6">
      <c r="A6" s="36">
        <v>1.0</v>
      </c>
      <c r="B6" s="7" t="s">
        <v>256</v>
      </c>
      <c r="C6" s="7" t="str">
        <f>IFERROR(__xludf.DUMMYFUNCTION("GOOGLETRANSLATE($B6, $A$2, $B$2)"),"7 days ago")</f>
        <v>7 days ago</v>
      </c>
      <c r="D6" s="7" t="s">
        <v>257</v>
      </c>
      <c r="E6" s="7" t="s">
        <v>258</v>
      </c>
      <c r="F6" s="7" t="s">
        <v>259</v>
      </c>
      <c r="G6" s="7" t="s">
        <v>260</v>
      </c>
      <c r="H6" s="7" t="s">
        <v>261</v>
      </c>
      <c r="I6" s="7" t="s">
        <v>261</v>
      </c>
      <c r="J6" s="7" t="str">
        <f>IFERROR(__xludf.DUMMYFUNCTION("GOOGLETRANSLATE($I6, ""de"", ""en"")"),"NO SALARY DATA")</f>
        <v>NO SALARY DATA</v>
      </c>
      <c r="K6" s="7" t="s">
        <v>261</v>
      </c>
      <c r="L6" s="7" t="s">
        <v>262</v>
      </c>
      <c r="M6" s="7" t="s">
        <v>263</v>
      </c>
      <c r="N6" s="7" t="s">
        <v>264</v>
      </c>
      <c r="O6" s="7"/>
      <c r="P6" s="37"/>
      <c r="Q6" s="7"/>
    </row>
    <row r="7">
      <c r="A7" s="7">
        <v>2.0</v>
      </c>
      <c r="B7" s="7" t="s">
        <v>265</v>
      </c>
      <c r="C7" s="7" t="str">
        <f>IFERROR(__xludf.DUMMYFUNCTION("GOOGLETRANSLATE($B7, $A$2, $B$2)"),"More than 30 days ago")</f>
        <v>More than 30 days ago</v>
      </c>
      <c r="D7" s="7" t="s">
        <v>266</v>
      </c>
      <c r="E7" s="7" t="s">
        <v>258</v>
      </c>
      <c r="F7" s="7" t="s">
        <v>267</v>
      </c>
      <c r="G7" s="7" t="s">
        <v>260</v>
      </c>
      <c r="H7" s="7" t="s">
        <v>261</v>
      </c>
      <c r="I7" s="7" t="s">
        <v>261</v>
      </c>
      <c r="J7" s="7" t="str">
        <f>IFERROR(__xludf.DUMMYFUNCTION("GOOGLETRANSLATE($I7, ""de"", ""en"")"),"NO SALARY DATA")</f>
        <v>NO SALARY DATA</v>
      </c>
      <c r="K7" s="7" t="s">
        <v>261</v>
      </c>
      <c r="L7" s="7" t="s">
        <v>268</v>
      </c>
      <c r="M7" s="7" t="s">
        <v>263</v>
      </c>
      <c r="N7" s="7" t="s">
        <v>260</v>
      </c>
      <c r="O7" s="7"/>
      <c r="P7" s="35"/>
      <c r="Q7" s="7"/>
    </row>
    <row r="8">
      <c r="A8" s="7">
        <v>3.0</v>
      </c>
      <c r="B8" s="7" t="s">
        <v>269</v>
      </c>
      <c r="C8" s="7" t="str">
        <f>IFERROR(__xludf.DUMMYFUNCTION("GOOGLETRANSLATE($B8, $A$2, $B$2)"),"5 days ago")</f>
        <v>5 days ago</v>
      </c>
      <c r="D8" s="7" t="s">
        <v>270</v>
      </c>
      <c r="E8" s="7" t="s">
        <v>271</v>
      </c>
      <c r="F8" s="7" t="s">
        <v>272</v>
      </c>
      <c r="G8" s="7" t="s">
        <v>260</v>
      </c>
      <c r="H8" s="7" t="s">
        <v>261</v>
      </c>
      <c r="I8" s="7" t="s">
        <v>261</v>
      </c>
      <c r="J8" s="7" t="str">
        <f>IFERROR(__xludf.DUMMYFUNCTION("GOOGLETRANSLATE($I8, ""de"", ""en"")"),"NO SALARY DATA")</f>
        <v>NO SALARY DATA</v>
      </c>
      <c r="K8" s="7" t="s">
        <v>261</v>
      </c>
      <c r="L8" s="7" t="s">
        <v>273</v>
      </c>
      <c r="M8" s="7" t="s">
        <v>274</v>
      </c>
      <c r="N8" s="7" t="s">
        <v>275</v>
      </c>
      <c r="O8" s="7"/>
      <c r="P8" s="37"/>
      <c r="Q8" s="7"/>
    </row>
    <row r="9">
      <c r="A9" s="7">
        <v>4.0</v>
      </c>
      <c r="B9" s="7" t="s">
        <v>265</v>
      </c>
      <c r="C9" s="7" t="str">
        <f>IFERROR(__xludf.DUMMYFUNCTION("GOOGLETRANSLATE($B9, $A$2, $B$2)"),"More than 30 days ago")</f>
        <v>More than 30 days ago</v>
      </c>
      <c r="D9" s="7" t="s">
        <v>276</v>
      </c>
      <c r="E9" s="7" t="s">
        <v>258</v>
      </c>
      <c r="F9" s="7" t="s">
        <v>277</v>
      </c>
      <c r="G9" s="7" t="s">
        <v>260</v>
      </c>
      <c r="H9" s="7" t="s">
        <v>261</v>
      </c>
      <c r="I9" s="7" t="s">
        <v>261</v>
      </c>
      <c r="J9" s="7" t="str">
        <f>IFERROR(__xludf.DUMMYFUNCTION("GOOGLETRANSLATE($I9, ""de"", ""en"")"),"NO SALARY DATA")</f>
        <v>NO SALARY DATA</v>
      </c>
      <c r="K9" s="7" t="s">
        <v>261</v>
      </c>
      <c r="L9" s="7" t="s">
        <v>278</v>
      </c>
      <c r="M9" s="7" t="s">
        <v>274</v>
      </c>
      <c r="N9" s="7" t="s">
        <v>260</v>
      </c>
      <c r="O9" s="7"/>
      <c r="P9" s="37"/>
      <c r="Q9" s="7"/>
    </row>
    <row r="10">
      <c r="A10" s="7">
        <v>5.0</v>
      </c>
      <c r="B10" s="7" t="s">
        <v>265</v>
      </c>
      <c r="C10" s="7" t="str">
        <f>IFERROR(__xludf.DUMMYFUNCTION("GOOGLETRANSLATE($B10, $A$2, $B$2)"),"More than 30 days ago")</f>
        <v>More than 30 days ago</v>
      </c>
      <c r="D10" s="7" t="s">
        <v>279</v>
      </c>
      <c r="E10" s="7" t="s">
        <v>280</v>
      </c>
      <c r="F10" s="7" t="s">
        <v>281</v>
      </c>
      <c r="G10" s="7" t="s">
        <v>260</v>
      </c>
      <c r="H10" s="7" t="s">
        <v>261</v>
      </c>
      <c r="I10" s="7" t="s">
        <v>261</v>
      </c>
      <c r="J10" s="7" t="str">
        <f>IFERROR(__xludf.DUMMYFUNCTION("GOOGLETRANSLATE($I10, ""de"", ""en"")"),"NO SALARY DATA")</f>
        <v>NO SALARY DATA</v>
      </c>
      <c r="K10" s="7" t="s">
        <v>261</v>
      </c>
      <c r="L10" s="7" t="s">
        <v>282</v>
      </c>
      <c r="M10" s="7" t="s">
        <v>263</v>
      </c>
      <c r="N10" s="7" t="s">
        <v>260</v>
      </c>
      <c r="O10" s="7"/>
      <c r="P10" s="37"/>
      <c r="Q10" s="7"/>
    </row>
    <row r="11">
      <c r="A11" s="7">
        <v>6.0</v>
      </c>
      <c r="B11" s="7" t="s">
        <v>265</v>
      </c>
      <c r="C11" s="7" t="str">
        <f>IFERROR(__xludf.DUMMYFUNCTION("GOOGLETRANSLATE($B11, $A$2, $B$2)"),"More than 30 days ago")</f>
        <v>More than 30 days ago</v>
      </c>
      <c r="D11" s="7" t="s">
        <v>283</v>
      </c>
      <c r="E11" s="7" t="s">
        <v>258</v>
      </c>
      <c r="F11" s="7" t="s">
        <v>267</v>
      </c>
      <c r="G11" s="7" t="s">
        <v>260</v>
      </c>
      <c r="H11" s="7" t="s">
        <v>261</v>
      </c>
      <c r="I11" s="7" t="s">
        <v>261</v>
      </c>
      <c r="J11" s="7" t="str">
        <f>IFERROR(__xludf.DUMMYFUNCTION("GOOGLETRANSLATE($I11, ""de"", ""en"")"),"NO SALARY DATA")</f>
        <v>NO SALARY DATA</v>
      </c>
      <c r="K11" s="7" t="s">
        <v>261</v>
      </c>
      <c r="L11" s="7" t="s">
        <v>268</v>
      </c>
      <c r="M11" s="7" t="s">
        <v>263</v>
      </c>
      <c r="N11" s="7" t="s">
        <v>260</v>
      </c>
      <c r="O11" s="7"/>
      <c r="P11" s="37"/>
      <c r="Q11" s="7"/>
    </row>
    <row r="12">
      <c r="A12" s="7">
        <v>7.0</v>
      </c>
      <c r="B12" s="7" t="s">
        <v>265</v>
      </c>
      <c r="C12" s="7" t="str">
        <f>IFERROR(__xludf.DUMMYFUNCTION("GOOGLETRANSLATE($B12, $A$2, $B$2)"),"More than 30 days ago")</f>
        <v>More than 30 days ago</v>
      </c>
      <c r="D12" s="7" t="s">
        <v>284</v>
      </c>
      <c r="E12" s="7" t="s">
        <v>258</v>
      </c>
      <c r="F12" s="7" t="s">
        <v>285</v>
      </c>
      <c r="G12" s="7" t="s">
        <v>260</v>
      </c>
      <c r="H12" s="7" t="s">
        <v>261</v>
      </c>
      <c r="I12" s="7" t="s">
        <v>261</v>
      </c>
      <c r="J12" s="7" t="str">
        <f>IFERROR(__xludf.DUMMYFUNCTION("GOOGLETRANSLATE($I12, ""de"", ""en"")"),"NO SALARY DATA")</f>
        <v>NO SALARY DATA</v>
      </c>
      <c r="K12" s="7" t="s">
        <v>261</v>
      </c>
      <c r="L12" s="7" t="s">
        <v>286</v>
      </c>
      <c r="M12" s="7" t="s">
        <v>287</v>
      </c>
      <c r="N12" s="7" t="s">
        <v>260</v>
      </c>
      <c r="O12" s="7"/>
      <c r="P12" s="37"/>
      <c r="Q12" s="7"/>
    </row>
    <row r="13">
      <c r="A13" s="7">
        <v>8.0</v>
      </c>
      <c r="B13" s="7" t="s">
        <v>288</v>
      </c>
      <c r="C13" s="7" t="str">
        <f>IFERROR(__xludf.DUMMYFUNCTION("GOOGLETRANSLATE($B13, $A$2, $B$2)"),"2 days ago")</f>
        <v>2 days ago</v>
      </c>
      <c r="D13" s="7" t="s">
        <v>289</v>
      </c>
      <c r="E13" s="7" t="s">
        <v>258</v>
      </c>
      <c r="F13" s="7" t="s">
        <v>290</v>
      </c>
      <c r="G13" s="7" t="s">
        <v>260</v>
      </c>
      <c r="H13" s="7" t="s">
        <v>261</v>
      </c>
      <c r="I13" s="7" t="s">
        <v>261</v>
      </c>
      <c r="J13" s="7" t="str">
        <f>IFERROR(__xludf.DUMMYFUNCTION("GOOGLETRANSLATE($I13, ""de"", ""en"")"),"NO SALARY DATA")</f>
        <v>NO SALARY DATA</v>
      </c>
      <c r="K13" s="7" t="s">
        <v>261</v>
      </c>
      <c r="L13" s="7" t="s">
        <v>291</v>
      </c>
      <c r="M13" s="7" t="s">
        <v>263</v>
      </c>
      <c r="N13" s="7" t="s">
        <v>260</v>
      </c>
      <c r="O13" s="7"/>
      <c r="P13" s="35"/>
      <c r="Q13" s="7"/>
    </row>
    <row r="14">
      <c r="A14" s="7">
        <v>9.0</v>
      </c>
      <c r="B14" s="38" t="s">
        <v>292</v>
      </c>
      <c r="C14" s="7" t="str">
        <f>IFERROR(__xludf.DUMMYFUNCTION("GOOGLETRANSLATE($B14, $A$2, $B$2)"),"1 day ago")</f>
        <v>1 day ago</v>
      </c>
      <c r="D14" s="7" t="s">
        <v>293</v>
      </c>
      <c r="E14" s="7" t="s">
        <v>258</v>
      </c>
      <c r="F14" s="7" t="s">
        <v>294</v>
      </c>
      <c r="G14" s="7" t="s">
        <v>260</v>
      </c>
      <c r="H14" s="7" t="s">
        <v>261</v>
      </c>
      <c r="I14" s="7" t="s">
        <v>261</v>
      </c>
      <c r="J14" s="7" t="str">
        <f>IFERROR(__xludf.DUMMYFUNCTION("GOOGLETRANSLATE($I14, ""de"", ""en"")"),"NO SALARY DATA")</f>
        <v>NO SALARY DATA</v>
      </c>
      <c r="K14" s="7" t="s">
        <v>261</v>
      </c>
      <c r="L14" s="7" t="s">
        <v>295</v>
      </c>
      <c r="M14" s="7" t="s">
        <v>263</v>
      </c>
      <c r="N14" s="7" t="s">
        <v>296</v>
      </c>
      <c r="O14" s="7"/>
      <c r="P14" s="35"/>
      <c r="Q14" s="7"/>
    </row>
    <row r="15">
      <c r="A15" s="7">
        <v>10.0</v>
      </c>
      <c r="B15" s="7" t="s">
        <v>292</v>
      </c>
      <c r="C15" s="7" t="str">
        <f>IFERROR(__xludf.DUMMYFUNCTION("GOOGLETRANSLATE($B15, $A$2, $B$2)"),"1 day ago")</f>
        <v>1 day ago</v>
      </c>
      <c r="D15" s="7" t="s">
        <v>297</v>
      </c>
      <c r="E15" s="7" t="s">
        <v>298</v>
      </c>
      <c r="F15" s="7" t="s">
        <v>299</v>
      </c>
      <c r="G15" s="7" t="s">
        <v>260</v>
      </c>
      <c r="H15" s="7" t="s">
        <v>261</v>
      </c>
      <c r="I15" s="7" t="s">
        <v>261</v>
      </c>
      <c r="J15" s="7" t="str">
        <f>IFERROR(__xludf.DUMMYFUNCTION("GOOGLETRANSLATE($I15, ""de"", ""en"")"),"NO SALARY DATA")</f>
        <v>NO SALARY DATA</v>
      </c>
      <c r="K15" s="7" t="s">
        <v>261</v>
      </c>
      <c r="L15" s="7" t="s">
        <v>300</v>
      </c>
      <c r="M15" s="7" t="s">
        <v>263</v>
      </c>
      <c r="N15" s="7" t="s">
        <v>301</v>
      </c>
      <c r="O15" s="7"/>
      <c r="P15" s="37"/>
      <c r="Q15" s="7"/>
    </row>
    <row r="16">
      <c r="A16" s="7">
        <v>11.0</v>
      </c>
      <c r="B16" s="7" t="s">
        <v>302</v>
      </c>
      <c r="C16" s="7" t="str">
        <f>IFERROR(__xludf.DUMMYFUNCTION("GOOGLETRANSLATE($B16, $A$2, $B$2)"),"today")</f>
        <v>today</v>
      </c>
      <c r="D16" s="7" t="s">
        <v>303</v>
      </c>
      <c r="E16" s="7" t="s">
        <v>271</v>
      </c>
      <c r="F16" s="7" t="s">
        <v>304</v>
      </c>
      <c r="G16" s="7" t="s">
        <v>260</v>
      </c>
      <c r="H16" s="7" t="s">
        <v>261</v>
      </c>
      <c r="I16" s="7" t="s">
        <v>261</v>
      </c>
      <c r="J16" s="7" t="str">
        <f>IFERROR(__xludf.DUMMYFUNCTION("GOOGLETRANSLATE($I16, ""de"", ""en"")"),"NO SALARY DATA")</f>
        <v>NO SALARY DATA</v>
      </c>
      <c r="K16" s="7" t="s">
        <v>261</v>
      </c>
      <c r="L16" s="7" t="s">
        <v>305</v>
      </c>
      <c r="M16" s="7" t="s">
        <v>274</v>
      </c>
      <c r="N16" s="7" t="s">
        <v>260</v>
      </c>
      <c r="O16" s="7"/>
      <c r="P16" s="37"/>
      <c r="Q16" s="7"/>
    </row>
    <row r="17">
      <c r="A17" s="7">
        <v>12.0</v>
      </c>
      <c r="B17" s="7" t="s">
        <v>265</v>
      </c>
      <c r="C17" s="7" t="str">
        <f>IFERROR(__xludf.DUMMYFUNCTION("GOOGLETRANSLATE($B17, $A$2, $B$2)"),"More than 30 days ago")</f>
        <v>More than 30 days ago</v>
      </c>
      <c r="D17" s="7" t="s">
        <v>306</v>
      </c>
      <c r="E17" s="7" t="s">
        <v>307</v>
      </c>
      <c r="F17" s="7" t="s">
        <v>308</v>
      </c>
      <c r="G17" s="7" t="s">
        <v>260</v>
      </c>
      <c r="H17" s="7" t="s">
        <v>261</v>
      </c>
      <c r="I17" s="7" t="s">
        <v>261</v>
      </c>
      <c r="J17" s="7" t="str">
        <f>IFERROR(__xludf.DUMMYFUNCTION("GOOGLETRANSLATE($I17, ""de"", ""en"")"),"NO SALARY DATA")</f>
        <v>NO SALARY DATA</v>
      </c>
      <c r="K17" s="7" t="s">
        <v>261</v>
      </c>
      <c r="L17" s="7" t="s">
        <v>309</v>
      </c>
      <c r="M17" s="7" t="s">
        <v>263</v>
      </c>
      <c r="N17" s="7" t="s">
        <v>260</v>
      </c>
      <c r="O17" s="7"/>
      <c r="P17" s="37"/>
      <c r="Q17" s="7"/>
    </row>
    <row r="18">
      <c r="A18" s="7">
        <v>13.0</v>
      </c>
      <c r="B18" s="7" t="s">
        <v>265</v>
      </c>
      <c r="C18" s="7" t="str">
        <f>IFERROR(__xludf.DUMMYFUNCTION("GOOGLETRANSLATE($B18, $A$2, $B$2)"),"More than 30 days ago")</f>
        <v>More than 30 days ago</v>
      </c>
      <c r="D18" s="7" t="s">
        <v>310</v>
      </c>
      <c r="E18" s="7" t="s">
        <v>258</v>
      </c>
      <c r="F18" s="7" t="s">
        <v>311</v>
      </c>
      <c r="G18" s="7" t="s">
        <v>260</v>
      </c>
      <c r="H18" s="7" t="s">
        <v>261</v>
      </c>
      <c r="I18" s="7" t="s">
        <v>261</v>
      </c>
      <c r="J18" s="7" t="str">
        <f>IFERROR(__xludf.DUMMYFUNCTION("GOOGLETRANSLATE($I18, ""de"", ""en"")"),"NO SALARY DATA")</f>
        <v>NO SALARY DATA</v>
      </c>
      <c r="K18" s="7" t="s">
        <v>261</v>
      </c>
      <c r="L18" s="7" t="s">
        <v>312</v>
      </c>
      <c r="M18" s="7" t="s">
        <v>263</v>
      </c>
      <c r="N18" s="7" t="s">
        <v>260</v>
      </c>
      <c r="O18" s="7"/>
      <c r="P18" s="37"/>
      <c r="Q18" s="7"/>
    </row>
    <row r="19">
      <c r="A19" s="7">
        <v>14.0</v>
      </c>
      <c r="B19" s="7" t="s">
        <v>265</v>
      </c>
      <c r="C19" s="7" t="str">
        <f>IFERROR(__xludf.DUMMYFUNCTION("GOOGLETRANSLATE($B19, $A$2, $B$2)"),"More than 30 days ago")</f>
        <v>More than 30 days ago</v>
      </c>
      <c r="D19" s="7" t="s">
        <v>313</v>
      </c>
      <c r="E19" s="7" t="s">
        <v>280</v>
      </c>
      <c r="F19" s="7" t="s">
        <v>314</v>
      </c>
      <c r="G19" s="7" t="s">
        <v>260</v>
      </c>
      <c r="H19" s="7" t="s">
        <v>261</v>
      </c>
      <c r="I19" s="7" t="s">
        <v>261</v>
      </c>
      <c r="J19" s="7" t="str">
        <f>IFERROR(__xludf.DUMMYFUNCTION("GOOGLETRANSLATE($I19, ""de"", ""en"")"),"NO SALARY DATA")</f>
        <v>NO SALARY DATA</v>
      </c>
      <c r="K19" s="7" t="s">
        <v>261</v>
      </c>
      <c r="L19" s="7" t="s">
        <v>315</v>
      </c>
      <c r="M19" s="7" t="s">
        <v>263</v>
      </c>
      <c r="N19" s="7" t="s">
        <v>260</v>
      </c>
      <c r="O19" s="7"/>
      <c r="P19" s="37"/>
      <c r="Q19" s="7"/>
    </row>
    <row r="20">
      <c r="A20" s="7">
        <v>15.0</v>
      </c>
      <c r="B20" s="7" t="s">
        <v>265</v>
      </c>
      <c r="C20" s="7" t="str">
        <f>IFERROR(__xludf.DUMMYFUNCTION("GOOGLETRANSLATE($B20, $A$2, $B$2)"),"More than 30 days ago")</f>
        <v>More than 30 days ago</v>
      </c>
      <c r="D20" s="7" t="s">
        <v>316</v>
      </c>
      <c r="E20" s="7" t="s">
        <v>258</v>
      </c>
      <c r="F20" s="7" t="s">
        <v>317</v>
      </c>
      <c r="G20" s="7" t="s">
        <v>260</v>
      </c>
      <c r="H20" s="7" t="s">
        <v>261</v>
      </c>
      <c r="I20" s="7" t="s">
        <v>261</v>
      </c>
      <c r="J20" s="7" t="str">
        <f>IFERROR(__xludf.DUMMYFUNCTION("GOOGLETRANSLATE($I20, ""de"", ""en"")"),"NO SALARY DATA")</f>
        <v>NO SALARY DATA</v>
      </c>
      <c r="K20" s="7" t="s">
        <v>261</v>
      </c>
      <c r="L20" s="7" t="s">
        <v>318</v>
      </c>
      <c r="M20" s="7" t="s">
        <v>263</v>
      </c>
      <c r="N20" s="7" t="s">
        <v>260</v>
      </c>
      <c r="O20" s="7"/>
      <c r="P20" s="35"/>
      <c r="Q20" s="7"/>
    </row>
    <row r="21">
      <c r="A21" s="7">
        <v>16.0</v>
      </c>
      <c r="B21" s="7" t="s">
        <v>302</v>
      </c>
      <c r="C21" s="7" t="str">
        <f>IFERROR(__xludf.DUMMYFUNCTION("GOOGLETRANSLATE($B21, $A$2, $B$2)"),"today")</f>
        <v>today</v>
      </c>
      <c r="D21" s="7" t="s">
        <v>319</v>
      </c>
      <c r="E21" s="7" t="s">
        <v>271</v>
      </c>
      <c r="F21" s="7" t="s">
        <v>320</v>
      </c>
      <c r="G21" s="7" t="s">
        <v>260</v>
      </c>
      <c r="H21" s="7" t="s">
        <v>261</v>
      </c>
      <c r="I21" s="7" t="s">
        <v>261</v>
      </c>
      <c r="J21" s="7" t="str">
        <f>IFERROR(__xludf.DUMMYFUNCTION("GOOGLETRANSLATE($I21, ""de"", ""en"")"),"NO SALARY DATA")</f>
        <v>NO SALARY DATA</v>
      </c>
      <c r="K21" s="7" t="s">
        <v>261</v>
      </c>
      <c r="L21" s="7" t="s">
        <v>321</v>
      </c>
      <c r="M21" s="7" t="s">
        <v>322</v>
      </c>
      <c r="N21" s="7" t="s">
        <v>323</v>
      </c>
      <c r="O21" s="7"/>
      <c r="P21" s="37"/>
      <c r="Q21" s="7"/>
    </row>
    <row r="22">
      <c r="A22" s="7">
        <v>17.0</v>
      </c>
      <c r="B22" s="7" t="s">
        <v>324</v>
      </c>
      <c r="C22" s="7" t="str">
        <f>IFERROR(__xludf.DUMMYFUNCTION("GOOGLETRANSLATE($B22, $A$2, $B$2)"),"3 days ago")</f>
        <v>3 days ago</v>
      </c>
      <c r="D22" s="7" t="s">
        <v>325</v>
      </c>
      <c r="E22" s="7" t="s">
        <v>271</v>
      </c>
      <c r="F22" s="7" t="s">
        <v>326</v>
      </c>
      <c r="G22" s="7" t="s">
        <v>260</v>
      </c>
      <c r="H22" s="7" t="s">
        <v>261</v>
      </c>
      <c r="I22" s="7" t="s">
        <v>261</v>
      </c>
      <c r="J22" s="7" t="str">
        <f>IFERROR(__xludf.DUMMYFUNCTION("GOOGLETRANSLATE($I22, ""de"", ""en"")"),"NO SALARY DATA")</f>
        <v>NO SALARY DATA</v>
      </c>
      <c r="K22" s="7" t="s">
        <v>261</v>
      </c>
      <c r="L22" s="7" t="s">
        <v>327</v>
      </c>
      <c r="M22" s="7" t="s">
        <v>322</v>
      </c>
      <c r="N22" s="7" t="s">
        <v>260</v>
      </c>
      <c r="O22" s="7"/>
      <c r="P22" s="35"/>
      <c r="Q22" s="7"/>
    </row>
    <row r="23">
      <c r="A23" s="7">
        <v>18.0</v>
      </c>
      <c r="B23" s="7" t="s">
        <v>302</v>
      </c>
      <c r="C23" s="7" t="str">
        <f>IFERROR(__xludf.DUMMYFUNCTION("GOOGLETRANSLATE($B23, $A$2, $B$2)"),"today")</f>
        <v>today</v>
      </c>
      <c r="D23" s="7" t="s">
        <v>328</v>
      </c>
      <c r="E23" s="7" t="s">
        <v>280</v>
      </c>
      <c r="F23" s="7" t="s">
        <v>329</v>
      </c>
      <c r="G23" s="7" t="s">
        <v>260</v>
      </c>
      <c r="H23" s="7" t="s">
        <v>261</v>
      </c>
      <c r="I23" s="7" t="s">
        <v>261</v>
      </c>
      <c r="J23" s="7" t="str">
        <f>IFERROR(__xludf.DUMMYFUNCTION("GOOGLETRANSLATE($I23, ""de"", ""en"")"),"NO SALARY DATA")</f>
        <v>NO SALARY DATA</v>
      </c>
      <c r="K23" s="7" t="s">
        <v>261</v>
      </c>
      <c r="L23" s="7" t="s">
        <v>330</v>
      </c>
      <c r="M23" s="7" t="s">
        <v>263</v>
      </c>
      <c r="N23" s="7" t="s">
        <v>331</v>
      </c>
      <c r="O23" s="7"/>
      <c r="P23" s="35"/>
      <c r="Q23" s="7"/>
    </row>
    <row r="24">
      <c r="A24" s="7">
        <v>19.0</v>
      </c>
      <c r="B24" s="7" t="s">
        <v>332</v>
      </c>
      <c r="C24" s="7" t="str">
        <f>IFERROR(__xludf.DUMMYFUNCTION("GOOGLETRANSLATE($B24, $A$2, $B$2)"),"4 days ago")</f>
        <v>4 days ago</v>
      </c>
      <c r="D24" s="7" t="s">
        <v>333</v>
      </c>
      <c r="E24" s="7" t="s">
        <v>258</v>
      </c>
      <c r="F24" s="7" t="s">
        <v>334</v>
      </c>
      <c r="G24" s="7" t="s">
        <v>260</v>
      </c>
      <c r="H24" s="7" t="s">
        <v>261</v>
      </c>
      <c r="I24" s="7" t="s">
        <v>261</v>
      </c>
      <c r="J24" s="7" t="str">
        <f>IFERROR(__xludf.DUMMYFUNCTION("GOOGLETRANSLATE($I24, ""de"", ""en"")"),"NO SALARY DATA")</f>
        <v>NO SALARY DATA</v>
      </c>
      <c r="K24" s="7" t="s">
        <v>261</v>
      </c>
      <c r="L24" s="7" t="s">
        <v>335</v>
      </c>
      <c r="M24" s="7" t="s">
        <v>274</v>
      </c>
      <c r="N24" s="7" t="s">
        <v>336</v>
      </c>
      <c r="O24" s="7"/>
      <c r="P24" s="35"/>
      <c r="Q24" s="7"/>
    </row>
    <row r="25">
      <c r="A25" s="7">
        <v>20.0</v>
      </c>
      <c r="B25" s="7" t="s">
        <v>302</v>
      </c>
      <c r="C25" s="7" t="str">
        <f>IFERROR(__xludf.DUMMYFUNCTION("GOOGLETRANSLATE($B25, $A$2, $B$2)"),"today")</f>
        <v>today</v>
      </c>
      <c r="D25" s="7" t="s">
        <v>337</v>
      </c>
      <c r="E25" s="7" t="s">
        <v>258</v>
      </c>
      <c r="F25" s="7" t="s">
        <v>338</v>
      </c>
      <c r="G25" s="7" t="s">
        <v>260</v>
      </c>
      <c r="H25" s="7" t="s">
        <v>261</v>
      </c>
      <c r="I25" s="7" t="s">
        <v>261</v>
      </c>
      <c r="J25" s="7" t="str">
        <f>IFERROR(__xludf.DUMMYFUNCTION("GOOGLETRANSLATE($I25, ""de"", ""en"")"),"NO SALARY DATA")</f>
        <v>NO SALARY DATA</v>
      </c>
      <c r="K25" s="7" t="s">
        <v>261</v>
      </c>
      <c r="L25" s="7" t="s">
        <v>339</v>
      </c>
      <c r="M25" s="7" t="s">
        <v>263</v>
      </c>
      <c r="N25" s="7" t="s">
        <v>340</v>
      </c>
      <c r="O25" s="7"/>
      <c r="P25" s="35"/>
      <c r="Q25" s="7"/>
    </row>
    <row r="26">
      <c r="A26" s="7">
        <v>21.0</v>
      </c>
      <c r="B26" s="7" t="s">
        <v>341</v>
      </c>
      <c r="C26" s="7" t="str">
        <f>IFERROR(__xludf.DUMMYFUNCTION("GOOGLETRANSLATE($B26, $A$2, $B$2)"),"before 14 days")</f>
        <v>before 14 days</v>
      </c>
      <c r="D26" s="7" t="s">
        <v>342</v>
      </c>
      <c r="E26" s="7" t="s">
        <v>343</v>
      </c>
      <c r="F26" s="7" t="s">
        <v>344</v>
      </c>
      <c r="G26" s="7" t="s">
        <v>260</v>
      </c>
      <c r="H26" s="7" t="s">
        <v>261</v>
      </c>
      <c r="I26" s="7" t="s">
        <v>261</v>
      </c>
      <c r="J26" s="7" t="str">
        <f>IFERROR(__xludf.DUMMYFUNCTION("GOOGLETRANSLATE($I26, ""de"", ""en"")"),"NO SALARY DATA")</f>
        <v>NO SALARY DATA</v>
      </c>
      <c r="K26" s="7" t="s">
        <v>261</v>
      </c>
      <c r="L26" s="7" t="s">
        <v>345</v>
      </c>
      <c r="M26" s="7" t="s">
        <v>263</v>
      </c>
      <c r="N26" s="7" t="s">
        <v>323</v>
      </c>
      <c r="O26" s="7"/>
      <c r="P26" s="37"/>
      <c r="Q26" s="7"/>
    </row>
    <row r="27">
      <c r="A27" s="7">
        <v>22.0</v>
      </c>
      <c r="B27" s="7" t="s">
        <v>346</v>
      </c>
      <c r="C27" s="7" t="str">
        <f>IFERROR(__xludf.DUMMYFUNCTION("GOOGLETRANSLATE($B27, $A$2, $B$2)"),"12 days ago")</f>
        <v>12 days ago</v>
      </c>
      <c r="D27" s="7" t="s">
        <v>347</v>
      </c>
      <c r="E27" s="7" t="s">
        <v>348</v>
      </c>
      <c r="F27" s="7" t="s">
        <v>349</v>
      </c>
      <c r="G27" s="7" t="s">
        <v>260</v>
      </c>
      <c r="H27" s="7" t="s">
        <v>261</v>
      </c>
      <c r="I27" s="7" t="s">
        <v>261</v>
      </c>
      <c r="J27" s="7" t="str">
        <f>IFERROR(__xludf.DUMMYFUNCTION("GOOGLETRANSLATE($I27, ""de"", ""en"")"),"NO SALARY DATA")</f>
        <v>NO SALARY DATA</v>
      </c>
      <c r="K27" s="7" t="s">
        <v>261</v>
      </c>
      <c r="L27" s="7" t="s">
        <v>350</v>
      </c>
      <c r="M27" s="7" t="s">
        <v>263</v>
      </c>
      <c r="N27" s="7" t="s">
        <v>260</v>
      </c>
      <c r="O27" s="7"/>
      <c r="P27" s="37"/>
      <c r="Q27" s="7"/>
    </row>
    <row r="28">
      <c r="A28" s="7">
        <v>23.0</v>
      </c>
      <c r="B28" s="7" t="s">
        <v>324</v>
      </c>
      <c r="C28" s="7" t="str">
        <f>IFERROR(__xludf.DUMMYFUNCTION("GOOGLETRANSLATE($B28, $A$2, $B$2)"),"3 days ago")</f>
        <v>3 days ago</v>
      </c>
      <c r="D28" s="7" t="s">
        <v>351</v>
      </c>
      <c r="E28" s="7" t="s">
        <v>352</v>
      </c>
      <c r="F28" s="7" t="s">
        <v>353</v>
      </c>
      <c r="G28" s="7" t="s">
        <v>260</v>
      </c>
      <c r="H28" s="7" t="s">
        <v>261</v>
      </c>
      <c r="I28" s="7" t="s">
        <v>261</v>
      </c>
      <c r="J28" s="7" t="str">
        <f>IFERROR(__xludf.DUMMYFUNCTION("GOOGLETRANSLATE($I28, ""de"", ""en"")"),"NO SALARY DATA")</f>
        <v>NO SALARY DATA</v>
      </c>
      <c r="K28" s="7" t="s">
        <v>261</v>
      </c>
      <c r="L28" s="7" t="s">
        <v>354</v>
      </c>
      <c r="M28" s="7" t="s">
        <v>263</v>
      </c>
      <c r="N28" s="7" t="s">
        <v>260</v>
      </c>
      <c r="O28" s="7"/>
      <c r="P28" s="37"/>
      <c r="Q28" s="7"/>
    </row>
    <row r="29">
      <c r="A29" s="7">
        <v>24.0</v>
      </c>
      <c r="B29" s="7" t="s">
        <v>341</v>
      </c>
      <c r="C29" s="7" t="str">
        <f>IFERROR(__xludf.DUMMYFUNCTION("GOOGLETRANSLATE($B29, $A$2, $B$2)"),"before 14 days")</f>
        <v>before 14 days</v>
      </c>
      <c r="D29" s="7" t="s">
        <v>355</v>
      </c>
      <c r="E29" s="7" t="s">
        <v>271</v>
      </c>
      <c r="F29" s="7" t="s">
        <v>356</v>
      </c>
      <c r="G29" s="7" t="s">
        <v>260</v>
      </c>
      <c r="H29" s="7" t="s">
        <v>261</v>
      </c>
      <c r="I29" s="7" t="s">
        <v>261</v>
      </c>
      <c r="J29" s="7" t="str">
        <f>IFERROR(__xludf.DUMMYFUNCTION("GOOGLETRANSLATE($I29, ""de"", ""en"")"),"NO SALARY DATA")</f>
        <v>NO SALARY DATA</v>
      </c>
      <c r="K29" s="7" t="s">
        <v>261</v>
      </c>
      <c r="L29" s="7" t="s">
        <v>357</v>
      </c>
      <c r="M29" s="7" t="s">
        <v>322</v>
      </c>
      <c r="N29" s="7" t="s">
        <v>260</v>
      </c>
      <c r="O29" s="7"/>
      <c r="P29" s="35"/>
      <c r="Q29" s="7"/>
    </row>
    <row r="30">
      <c r="A30" s="7">
        <v>25.0</v>
      </c>
      <c r="B30" s="7" t="s">
        <v>358</v>
      </c>
      <c r="C30" s="7" t="str">
        <f>IFERROR(__xludf.DUMMYFUNCTION("GOOGLETRANSLATE($B30, $A$2, $B$2)"),"28 days ago")</f>
        <v>28 days ago</v>
      </c>
      <c r="D30" s="7" t="s">
        <v>359</v>
      </c>
      <c r="E30" s="7" t="s">
        <v>360</v>
      </c>
      <c r="F30" s="7" t="s">
        <v>361</v>
      </c>
      <c r="G30" s="7" t="s">
        <v>260</v>
      </c>
      <c r="H30" s="7" t="s">
        <v>261</v>
      </c>
      <c r="I30" s="7" t="s">
        <v>261</v>
      </c>
      <c r="J30" s="7" t="str">
        <f>IFERROR(__xludf.DUMMYFUNCTION("GOOGLETRANSLATE($I30, ""de"", ""en"")"),"NO SALARY DATA")</f>
        <v>NO SALARY DATA</v>
      </c>
      <c r="K30" s="7" t="s">
        <v>261</v>
      </c>
      <c r="L30" s="7" t="s">
        <v>362</v>
      </c>
      <c r="M30" s="7" t="s">
        <v>263</v>
      </c>
      <c r="N30" s="7" t="s">
        <v>301</v>
      </c>
      <c r="O30" s="7"/>
      <c r="P30" s="37"/>
      <c r="Q30" s="7"/>
    </row>
    <row r="31">
      <c r="A31" s="7">
        <v>26.0</v>
      </c>
      <c r="B31" s="7" t="s">
        <v>324</v>
      </c>
      <c r="C31" s="7" t="str">
        <f>IFERROR(__xludf.DUMMYFUNCTION("GOOGLETRANSLATE($B31, $A$2, $B$2)"),"3 days ago")</f>
        <v>3 days ago</v>
      </c>
      <c r="D31" s="7" t="s">
        <v>363</v>
      </c>
      <c r="E31" s="7" t="s">
        <v>258</v>
      </c>
      <c r="F31" s="7" t="s">
        <v>364</v>
      </c>
      <c r="G31" s="7" t="s">
        <v>260</v>
      </c>
      <c r="H31" s="7" t="s">
        <v>261</v>
      </c>
      <c r="I31" s="7" t="s">
        <v>261</v>
      </c>
      <c r="J31" s="7" t="str">
        <f>IFERROR(__xludf.DUMMYFUNCTION("GOOGLETRANSLATE($I31, ""de"", ""en"")"),"NO SALARY DATA")</f>
        <v>NO SALARY DATA</v>
      </c>
      <c r="K31" s="7" t="s">
        <v>261</v>
      </c>
      <c r="L31" s="7" t="s">
        <v>312</v>
      </c>
      <c r="M31" s="7" t="s">
        <v>322</v>
      </c>
      <c r="N31" s="7" t="s">
        <v>260</v>
      </c>
      <c r="O31" s="7"/>
      <c r="P31" s="37"/>
      <c r="Q31" s="7"/>
    </row>
    <row r="32">
      <c r="A32" s="7">
        <v>27.0</v>
      </c>
      <c r="B32" s="7" t="s">
        <v>324</v>
      </c>
      <c r="C32" s="7" t="str">
        <f>IFERROR(__xludf.DUMMYFUNCTION("GOOGLETRANSLATE($B32, $A$2, $B$2)"),"3 days ago")</f>
        <v>3 days ago</v>
      </c>
      <c r="D32" s="7" t="s">
        <v>365</v>
      </c>
      <c r="E32" s="7" t="s">
        <v>271</v>
      </c>
      <c r="F32" s="7" t="s">
        <v>366</v>
      </c>
      <c r="G32" s="7" t="s">
        <v>260</v>
      </c>
      <c r="H32" s="7" t="s">
        <v>261</v>
      </c>
      <c r="I32" s="7" t="s">
        <v>261</v>
      </c>
      <c r="J32" s="7" t="str">
        <f>IFERROR(__xludf.DUMMYFUNCTION("GOOGLETRANSLATE($I32, ""de"", ""en"")"),"NO SALARY DATA")</f>
        <v>NO SALARY DATA</v>
      </c>
      <c r="K32" s="7" t="s">
        <v>261</v>
      </c>
      <c r="L32" s="7" t="s">
        <v>318</v>
      </c>
      <c r="M32" s="7" t="s">
        <v>263</v>
      </c>
      <c r="N32" s="7" t="s">
        <v>260</v>
      </c>
      <c r="O32" s="7"/>
      <c r="P32" s="37"/>
      <c r="Q32" s="7"/>
    </row>
    <row r="33">
      <c r="A33" s="7">
        <v>28.0</v>
      </c>
      <c r="B33" s="7" t="s">
        <v>332</v>
      </c>
      <c r="C33" s="7" t="str">
        <f>IFERROR(__xludf.DUMMYFUNCTION("GOOGLETRANSLATE($B33, $A$2, $B$2)"),"4 days ago")</f>
        <v>4 days ago</v>
      </c>
      <c r="D33" s="7" t="s">
        <v>367</v>
      </c>
      <c r="E33" s="7" t="s">
        <v>368</v>
      </c>
      <c r="F33" s="7" t="s">
        <v>369</v>
      </c>
      <c r="G33" s="7" t="s">
        <v>260</v>
      </c>
      <c r="H33" s="7" t="s">
        <v>261</v>
      </c>
      <c r="I33" s="7" t="s">
        <v>261</v>
      </c>
      <c r="J33" s="7" t="str">
        <f>IFERROR(__xludf.DUMMYFUNCTION("GOOGLETRANSLATE($I33, ""de"", ""en"")"),"NO SALARY DATA")</f>
        <v>NO SALARY DATA</v>
      </c>
      <c r="K33" s="7" t="s">
        <v>261</v>
      </c>
      <c r="L33" s="7" t="s">
        <v>370</v>
      </c>
      <c r="M33" s="7" t="s">
        <v>322</v>
      </c>
      <c r="N33" s="7" t="s">
        <v>260</v>
      </c>
      <c r="O33" s="7"/>
      <c r="P33" s="37"/>
      <c r="Q33" s="7"/>
    </row>
    <row r="34">
      <c r="A34" s="7">
        <v>29.0</v>
      </c>
      <c r="B34" s="7" t="s">
        <v>371</v>
      </c>
      <c r="C34" s="7" t="str">
        <f>IFERROR(__xludf.DUMMYFUNCTION("GOOGLETRANSLATE($B34, $A$2, $B$2)"),"Straight")</f>
        <v>Straight</v>
      </c>
      <c r="D34" s="7" t="s">
        <v>306</v>
      </c>
      <c r="E34" s="7" t="s">
        <v>372</v>
      </c>
      <c r="F34" s="7" t="s">
        <v>373</v>
      </c>
      <c r="G34" s="7" t="s">
        <v>260</v>
      </c>
      <c r="H34" s="7" t="s">
        <v>261</v>
      </c>
      <c r="I34" s="7" t="s">
        <v>261</v>
      </c>
      <c r="J34" s="7" t="str">
        <f>IFERROR(__xludf.DUMMYFUNCTION("GOOGLETRANSLATE($I34, ""de"", ""en"")"),"NO SALARY DATA")</f>
        <v>NO SALARY DATA</v>
      </c>
      <c r="K34" s="7" t="s">
        <v>261</v>
      </c>
      <c r="L34" s="7" t="s">
        <v>374</v>
      </c>
      <c r="M34" s="7" t="s">
        <v>263</v>
      </c>
      <c r="N34" s="7" t="s">
        <v>260</v>
      </c>
      <c r="O34" s="7"/>
      <c r="P34" s="35"/>
      <c r="Q34" s="7"/>
    </row>
    <row r="35">
      <c r="A35" s="7">
        <v>30.0</v>
      </c>
      <c r="B35" s="7" t="s">
        <v>375</v>
      </c>
      <c r="C35" s="7" t="str">
        <f>IFERROR(__xludf.DUMMYFUNCTION("GOOGLETRANSLATE($B35, $A$2, $B$2)"),"6 days ago")</f>
        <v>6 days ago</v>
      </c>
      <c r="D35" s="7" t="s">
        <v>376</v>
      </c>
      <c r="E35" s="7" t="s">
        <v>377</v>
      </c>
      <c r="F35" s="7" t="s">
        <v>378</v>
      </c>
      <c r="G35" s="7" t="s">
        <v>260</v>
      </c>
      <c r="H35" s="7" t="s">
        <v>261</v>
      </c>
      <c r="I35" s="7" t="s">
        <v>261</v>
      </c>
      <c r="J35" s="7" t="str">
        <f>IFERROR(__xludf.DUMMYFUNCTION("GOOGLETRANSLATE($I35, ""de"", ""en"")"),"NO SALARY DATA")</f>
        <v>NO SALARY DATA</v>
      </c>
      <c r="K35" s="7" t="s">
        <v>261</v>
      </c>
      <c r="L35" s="7" t="s">
        <v>370</v>
      </c>
      <c r="M35" s="7" t="s">
        <v>263</v>
      </c>
      <c r="N35" s="7" t="s">
        <v>275</v>
      </c>
      <c r="O35" s="7"/>
      <c r="P35" s="37"/>
      <c r="Q35" s="7"/>
    </row>
    <row r="36">
      <c r="A36" s="7">
        <v>31.0</v>
      </c>
      <c r="B36" s="7" t="s">
        <v>379</v>
      </c>
      <c r="C36" s="7" t="str">
        <f>IFERROR(__xludf.DUMMYFUNCTION("GOOGLETRANSLATE($B36, $A$2, $B$2)"),"13 days ago")</f>
        <v>13 days ago</v>
      </c>
      <c r="D36" s="7" t="s">
        <v>380</v>
      </c>
      <c r="E36" s="7" t="s">
        <v>381</v>
      </c>
      <c r="F36" s="7" t="s">
        <v>382</v>
      </c>
      <c r="G36" s="7" t="s">
        <v>383</v>
      </c>
      <c r="H36" s="7">
        <v>55000.0</v>
      </c>
      <c r="I36" s="7" t="s">
        <v>384</v>
      </c>
      <c r="J36" s="7" t="str">
        <f>IFERROR(__xludf.DUMMYFUNCTION("GOOGLETRANSLATE($I36, ""de"", ""en"")"),"year")</f>
        <v>year</v>
      </c>
      <c r="K36" s="7">
        <v>55000.0</v>
      </c>
      <c r="L36" s="7" t="s">
        <v>318</v>
      </c>
      <c r="M36" s="7" t="s">
        <v>263</v>
      </c>
      <c r="N36" s="7" t="s">
        <v>260</v>
      </c>
      <c r="O36" s="7"/>
      <c r="P36" s="37"/>
      <c r="Q36" s="7"/>
    </row>
    <row r="37">
      <c r="A37" s="7">
        <v>32.0</v>
      </c>
      <c r="B37" s="7" t="s">
        <v>265</v>
      </c>
      <c r="C37" s="7" t="str">
        <f>IFERROR(__xludf.DUMMYFUNCTION("GOOGLETRANSLATE($B37, $A$2, $B$2)"),"More than 30 days ago")</f>
        <v>More than 30 days ago</v>
      </c>
      <c r="D37" s="7" t="s">
        <v>385</v>
      </c>
      <c r="E37" s="7" t="s">
        <v>280</v>
      </c>
      <c r="F37" s="7" t="s">
        <v>386</v>
      </c>
      <c r="G37" s="7" t="s">
        <v>387</v>
      </c>
      <c r="H37" s="7">
        <v>27.0</v>
      </c>
      <c r="I37" s="7" t="s">
        <v>388</v>
      </c>
      <c r="J37" s="7" t="str">
        <f>IFERROR(__xludf.DUMMYFUNCTION("GOOGLETRANSLATE($I37, ""de"", ""en"")"),"hour")</f>
        <v>hour</v>
      </c>
      <c r="K37" s="7">
        <v>57024.0</v>
      </c>
      <c r="L37" s="7" t="s">
        <v>389</v>
      </c>
      <c r="M37" s="7" t="s">
        <v>263</v>
      </c>
      <c r="N37" s="7" t="s">
        <v>260</v>
      </c>
      <c r="O37" s="7"/>
      <c r="P37" s="37"/>
      <c r="Q37" s="7"/>
    </row>
    <row r="38">
      <c r="A38" s="7">
        <v>33.0</v>
      </c>
      <c r="B38" s="7" t="s">
        <v>265</v>
      </c>
      <c r="C38" s="7" t="str">
        <f>IFERROR(__xludf.DUMMYFUNCTION("GOOGLETRANSLATE($B38, $A$2, $B$2)"),"More than 30 days ago")</f>
        <v>More than 30 days ago</v>
      </c>
      <c r="D38" s="7" t="s">
        <v>390</v>
      </c>
      <c r="E38" s="7" t="s">
        <v>271</v>
      </c>
      <c r="F38" s="7" t="s">
        <v>366</v>
      </c>
      <c r="G38" s="7" t="s">
        <v>260</v>
      </c>
      <c r="H38" s="7" t="s">
        <v>261</v>
      </c>
      <c r="I38" s="7" t="s">
        <v>261</v>
      </c>
      <c r="J38" s="7" t="str">
        <f>IFERROR(__xludf.DUMMYFUNCTION("GOOGLETRANSLATE($I38, ""de"", ""en"")"),"NO SALARY DATA")</f>
        <v>NO SALARY DATA</v>
      </c>
      <c r="K38" s="7" t="s">
        <v>261</v>
      </c>
      <c r="L38" s="7" t="s">
        <v>391</v>
      </c>
      <c r="M38" s="7" t="s">
        <v>263</v>
      </c>
      <c r="N38" s="7" t="s">
        <v>260</v>
      </c>
      <c r="O38" s="7"/>
      <c r="P38" s="37"/>
      <c r="Q38" s="7"/>
    </row>
    <row r="39">
      <c r="A39" s="7">
        <v>34.0</v>
      </c>
      <c r="B39" s="7" t="s">
        <v>392</v>
      </c>
      <c r="C39" s="7" t="str">
        <f>IFERROR(__xludf.DUMMYFUNCTION("GOOGLETRANSLATE($B39, $A$2, $B$2)"),"10 days ago")</f>
        <v>10 days ago</v>
      </c>
      <c r="D39" s="7" t="s">
        <v>393</v>
      </c>
      <c r="E39" s="7" t="s">
        <v>271</v>
      </c>
      <c r="F39" s="7" t="s">
        <v>394</v>
      </c>
      <c r="G39" s="7" t="s">
        <v>260</v>
      </c>
      <c r="H39" s="7" t="s">
        <v>261</v>
      </c>
      <c r="I39" s="7" t="s">
        <v>261</v>
      </c>
      <c r="J39" s="7" t="str">
        <f>IFERROR(__xludf.DUMMYFUNCTION("GOOGLETRANSLATE($I39, ""de"", ""en"")"),"NO SALARY DATA")</f>
        <v>NO SALARY DATA</v>
      </c>
      <c r="K39" s="7" t="s">
        <v>261</v>
      </c>
      <c r="L39" s="7" t="s">
        <v>345</v>
      </c>
      <c r="M39" s="7" t="s">
        <v>322</v>
      </c>
      <c r="N39" s="7" t="s">
        <v>260</v>
      </c>
      <c r="O39" s="7"/>
      <c r="P39" s="35"/>
      <c r="Q39" s="7"/>
    </row>
    <row r="40">
      <c r="A40" s="7">
        <v>35.0</v>
      </c>
      <c r="B40" s="7" t="s">
        <v>395</v>
      </c>
      <c r="C40" s="7" t="str">
        <f>IFERROR(__xludf.DUMMYFUNCTION("GOOGLETRANSLATE($B40, $A$2, $B$2)"),"21 days ago")</f>
        <v>21 days ago</v>
      </c>
      <c r="D40" s="7" t="s">
        <v>396</v>
      </c>
      <c r="E40" s="7" t="s">
        <v>271</v>
      </c>
      <c r="F40" s="7" t="s">
        <v>397</v>
      </c>
      <c r="G40" s="7" t="s">
        <v>260</v>
      </c>
      <c r="H40" s="7" t="s">
        <v>261</v>
      </c>
      <c r="I40" s="7" t="s">
        <v>261</v>
      </c>
      <c r="J40" s="7" t="str">
        <f>IFERROR(__xludf.DUMMYFUNCTION("GOOGLETRANSLATE($I40, ""de"", ""en"")"),"NO SALARY DATA")</f>
        <v>NO SALARY DATA</v>
      </c>
      <c r="K40" s="7" t="s">
        <v>261</v>
      </c>
      <c r="L40" s="7" t="s">
        <v>398</v>
      </c>
      <c r="M40" s="7" t="s">
        <v>263</v>
      </c>
      <c r="N40" s="7" t="s">
        <v>399</v>
      </c>
      <c r="O40" s="7"/>
      <c r="P40" s="37"/>
      <c r="Q40" s="7"/>
    </row>
    <row r="41">
      <c r="A41" s="7">
        <v>36.0</v>
      </c>
      <c r="B41" s="7" t="s">
        <v>265</v>
      </c>
      <c r="C41" s="7" t="str">
        <f>IFERROR(__xludf.DUMMYFUNCTION("GOOGLETRANSLATE($B41, $A$2, $B$2)"),"More than 30 days ago")</f>
        <v>More than 30 days ago</v>
      </c>
      <c r="D41" s="7" t="s">
        <v>400</v>
      </c>
      <c r="E41" s="7" t="s">
        <v>401</v>
      </c>
      <c r="F41" s="7" t="s">
        <v>402</v>
      </c>
      <c r="G41" s="7" t="s">
        <v>260</v>
      </c>
      <c r="H41" s="7" t="s">
        <v>261</v>
      </c>
      <c r="I41" s="7" t="s">
        <v>261</v>
      </c>
      <c r="J41" s="7" t="str">
        <f>IFERROR(__xludf.DUMMYFUNCTION("GOOGLETRANSLATE($I41, ""de"", ""en"")"),"NO SALARY DATA")</f>
        <v>NO SALARY DATA</v>
      </c>
      <c r="K41" s="7" t="s">
        <v>261</v>
      </c>
      <c r="L41" s="7" t="s">
        <v>403</v>
      </c>
      <c r="M41" s="7" t="s">
        <v>322</v>
      </c>
      <c r="N41" s="7" t="s">
        <v>260</v>
      </c>
      <c r="O41" s="7"/>
      <c r="P41" s="35"/>
      <c r="Q41" s="7"/>
    </row>
    <row r="42">
      <c r="A42" s="7">
        <v>37.0</v>
      </c>
      <c r="B42" s="7" t="s">
        <v>269</v>
      </c>
      <c r="C42" s="7" t="str">
        <f>IFERROR(__xludf.DUMMYFUNCTION("GOOGLETRANSLATE($B42, $A$2, $B$2)"),"5 days ago")</f>
        <v>5 days ago</v>
      </c>
      <c r="D42" s="7" t="s">
        <v>404</v>
      </c>
      <c r="E42" s="7" t="s">
        <v>405</v>
      </c>
      <c r="F42" s="7" t="s">
        <v>406</v>
      </c>
      <c r="G42" s="7" t="s">
        <v>260</v>
      </c>
      <c r="H42" s="7" t="s">
        <v>261</v>
      </c>
      <c r="I42" s="7" t="s">
        <v>261</v>
      </c>
      <c r="J42" s="7" t="str">
        <f>IFERROR(__xludf.DUMMYFUNCTION("GOOGLETRANSLATE($I42, ""de"", ""en"")"),"NO SALARY DATA")</f>
        <v>NO SALARY DATA</v>
      </c>
      <c r="K42" s="7" t="s">
        <v>261</v>
      </c>
      <c r="L42" s="7"/>
      <c r="M42" s="7" t="s">
        <v>322</v>
      </c>
      <c r="N42" s="7" t="s">
        <v>275</v>
      </c>
      <c r="O42" s="7"/>
      <c r="P42" s="37"/>
      <c r="Q42" s="7"/>
    </row>
    <row r="43">
      <c r="A43" s="7">
        <v>38.0</v>
      </c>
      <c r="B43" s="7" t="s">
        <v>332</v>
      </c>
      <c r="C43" s="7" t="str">
        <f>IFERROR(__xludf.DUMMYFUNCTION("GOOGLETRANSLATE($B43, $A$2, $B$2)"),"4 days ago")</f>
        <v>4 days ago</v>
      </c>
      <c r="D43" s="7" t="s">
        <v>407</v>
      </c>
      <c r="E43" s="7" t="s">
        <v>408</v>
      </c>
      <c r="F43" s="7" t="s">
        <v>409</v>
      </c>
      <c r="G43" s="7" t="s">
        <v>260</v>
      </c>
      <c r="H43" s="7" t="s">
        <v>261</v>
      </c>
      <c r="I43" s="7" t="s">
        <v>261</v>
      </c>
      <c r="J43" s="7" t="str">
        <f>IFERROR(__xludf.DUMMYFUNCTION("GOOGLETRANSLATE($I43, ""de"", ""en"")"),"NO SALARY DATA")</f>
        <v>NO SALARY DATA</v>
      </c>
      <c r="K43" s="7" t="s">
        <v>261</v>
      </c>
      <c r="L43" s="7" t="s">
        <v>410</v>
      </c>
      <c r="M43" s="7" t="s">
        <v>263</v>
      </c>
      <c r="N43" s="7" t="s">
        <v>260</v>
      </c>
      <c r="O43" s="7"/>
      <c r="P43" s="35"/>
      <c r="Q43" s="7"/>
    </row>
    <row r="44">
      <c r="A44" s="7">
        <v>39.0</v>
      </c>
      <c r="B44" s="7" t="s">
        <v>265</v>
      </c>
      <c r="C44" s="7" t="str">
        <f>IFERROR(__xludf.DUMMYFUNCTION("GOOGLETRANSLATE($B44, $A$2, $B$2)"),"More than 30 days ago")</f>
        <v>More than 30 days ago</v>
      </c>
      <c r="D44" s="7" t="s">
        <v>411</v>
      </c>
      <c r="E44" s="7" t="s">
        <v>348</v>
      </c>
      <c r="F44" s="7" t="s">
        <v>412</v>
      </c>
      <c r="G44" s="7" t="s">
        <v>260</v>
      </c>
      <c r="H44" s="7" t="s">
        <v>261</v>
      </c>
      <c r="I44" s="7" t="s">
        <v>261</v>
      </c>
      <c r="J44" s="7" t="str">
        <f>IFERROR(__xludf.DUMMYFUNCTION("GOOGLETRANSLATE($I44, ""de"", ""en"")"),"NO SALARY DATA")</f>
        <v>NO SALARY DATA</v>
      </c>
      <c r="K44" s="7" t="s">
        <v>261</v>
      </c>
      <c r="L44" s="7" t="s">
        <v>413</v>
      </c>
      <c r="M44" s="7" t="s">
        <v>414</v>
      </c>
      <c r="N44" s="7" t="s">
        <v>323</v>
      </c>
      <c r="O44" s="7"/>
      <c r="P44" s="37"/>
      <c r="Q44" s="7"/>
    </row>
    <row r="45">
      <c r="A45" s="7">
        <v>40.0</v>
      </c>
      <c r="B45" s="7" t="s">
        <v>375</v>
      </c>
      <c r="C45" s="7" t="str">
        <f>IFERROR(__xludf.DUMMYFUNCTION("GOOGLETRANSLATE($B45, $A$2, $B$2)"),"6 days ago")</f>
        <v>6 days ago</v>
      </c>
      <c r="D45" s="7" t="s">
        <v>390</v>
      </c>
      <c r="E45" s="7" t="s">
        <v>258</v>
      </c>
      <c r="F45" s="7" t="s">
        <v>415</v>
      </c>
      <c r="G45" s="7" t="s">
        <v>260</v>
      </c>
      <c r="H45" s="7" t="s">
        <v>261</v>
      </c>
      <c r="I45" s="7" t="s">
        <v>261</v>
      </c>
      <c r="J45" s="7" t="str">
        <f>IFERROR(__xludf.DUMMYFUNCTION("GOOGLETRANSLATE($I45, ""de"", ""en"")"),"NO SALARY DATA")</f>
        <v>NO SALARY DATA</v>
      </c>
      <c r="K45" s="7" t="s">
        <v>261</v>
      </c>
      <c r="L45" s="7" t="s">
        <v>278</v>
      </c>
      <c r="M45" s="7" t="s">
        <v>322</v>
      </c>
      <c r="N45" s="7" t="s">
        <v>260</v>
      </c>
      <c r="O45" s="7"/>
      <c r="P45" s="35"/>
      <c r="Q45" s="7"/>
    </row>
    <row r="46">
      <c r="A46" s="7">
        <v>41.0</v>
      </c>
      <c r="B46" s="7" t="s">
        <v>256</v>
      </c>
      <c r="C46" s="7" t="str">
        <f>IFERROR(__xludf.DUMMYFUNCTION("GOOGLETRANSLATE($B46, $A$2, $B$2)"),"7 days ago")</f>
        <v>7 days ago</v>
      </c>
      <c r="D46" s="7" t="s">
        <v>416</v>
      </c>
      <c r="E46" s="7" t="s">
        <v>417</v>
      </c>
      <c r="F46" s="7" t="s">
        <v>418</v>
      </c>
      <c r="G46" s="7" t="s">
        <v>260</v>
      </c>
      <c r="H46" s="7" t="s">
        <v>261</v>
      </c>
      <c r="I46" s="7" t="s">
        <v>261</v>
      </c>
      <c r="J46" s="7" t="str">
        <f>IFERROR(__xludf.DUMMYFUNCTION("GOOGLETRANSLATE($I46, ""de"", ""en"")"),"NO SALARY DATA")</f>
        <v>NO SALARY DATA</v>
      </c>
      <c r="K46" s="7" t="s">
        <v>261</v>
      </c>
      <c r="L46" s="7" t="s">
        <v>419</v>
      </c>
      <c r="M46" s="7" t="s">
        <v>263</v>
      </c>
      <c r="N46" s="7" t="s">
        <v>420</v>
      </c>
      <c r="O46" s="7"/>
      <c r="P46" s="35"/>
      <c r="Q46" s="7"/>
    </row>
    <row r="47">
      <c r="A47" s="7">
        <v>42.0</v>
      </c>
      <c r="B47" s="7" t="s">
        <v>392</v>
      </c>
      <c r="C47" s="7" t="str">
        <f>IFERROR(__xludf.DUMMYFUNCTION("GOOGLETRANSLATE($B47, $A$2, $B$2)"),"10 days ago")</f>
        <v>10 days ago</v>
      </c>
      <c r="D47" s="7" t="s">
        <v>421</v>
      </c>
      <c r="E47" s="7" t="s">
        <v>271</v>
      </c>
      <c r="F47" s="7" t="s">
        <v>422</v>
      </c>
      <c r="G47" s="7" t="s">
        <v>260</v>
      </c>
      <c r="H47" s="7" t="s">
        <v>261</v>
      </c>
      <c r="I47" s="7" t="s">
        <v>261</v>
      </c>
      <c r="J47" s="7" t="str">
        <f>IFERROR(__xludf.DUMMYFUNCTION("GOOGLETRANSLATE($I47, ""de"", ""en"")"),"NO SALARY DATA")</f>
        <v>NO SALARY DATA</v>
      </c>
      <c r="K47" s="7" t="s">
        <v>261</v>
      </c>
      <c r="L47" s="7" t="s">
        <v>423</v>
      </c>
      <c r="M47" s="7" t="s">
        <v>322</v>
      </c>
      <c r="N47" s="7" t="s">
        <v>275</v>
      </c>
      <c r="O47" s="7"/>
      <c r="P47" s="37"/>
      <c r="Q47" s="7"/>
    </row>
    <row r="48">
      <c r="A48" s="7">
        <v>43.0</v>
      </c>
      <c r="B48" s="7" t="s">
        <v>265</v>
      </c>
      <c r="C48" s="7" t="str">
        <f>IFERROR(__xludf.DUMMYFUNCTION("GOOGLETRANSLATE($B48, $A$2, $B$2)"),"More than 30 days ago")</f>
        <v>More than 30 days ago</v>
      </c>
      <c r="D48" s="7" t="s">
        <v>424</v>
      </c>
      <c r="E48" s="7" t="s">
        <v>258</v>
      </c>
      <c r="F48" s="7" t="s">
        <v>317</v>
      </c>
      <c r="G48" s="7" t="s">
        <v>260</v>
      </c>
      <c r="H48" s="7" t="s">
        <v>261</v>
      </c>
      <c r="I48" s="7" t="s">
        <v>261</v>
      </c>
      <c r="J48" s="7" t="str">
        <f>IFERROR(__xludf.DUMMYFUNCTION("GOOGLETRANSLATE($I48, ""de"", ""en"")"),"NO SALARY DATA")</f>
        <v>NO SALARY DATA</v>
      </c>
      <c r="K48" s="7" t="s">
        <v>261</v>
      </c>
      <c r="L48" s="7" t="s">
        <v>425</v>
      </c>
      <c r="M48" s="7" t="s">
        <v>263</v>
      </c>
      <c r="N48" s="7" t="s">
        <v>260</v>
      </c>
      <c r="O48" s="7"/>
      <c r="P48" s="37"/>
      <c r="Q48" s="7"/>
    </row>
    <row r="49">
      <c r="A49" s="7">
        <v>44.0</v>
      </c>
      <c r="B49" s="7" t="s">
        <v>358</v>
      </c>
      <c r="C49" s="7" t="str">
        <f>IFERROR(__xludf.DUMMYFUNCTION("GOOGLETRANSLATE($B49, $A$2, $B$2)"),"28 days ago")</f>
        <v>28 days ago</v>
      </c>
      <c r="D49" s="7" t="s">
        <v>426</v>
      </c>
      <c r="E49" s="7" t="s">
        <v>258</v>
      </c>
      <c r="F49" s="7" t="s">
        <v>311</v>
      </c>
      <c r="G49" s="7" t="s">
        <v>260</v>
      </c>
      <c r="H49" s="7" t="s">
        <v>261</v>
      </c>
      <c r="I49" s="7" t="s">
        <v>261</v>
      </c>
      <c r="J49" s="7" t="str">
        <f>IFERROR(__xludf.DUMMYFUNCTION("GOOGLETRANSLATE($I49, ""de"", ""en"")"),"NO SALARY DATA")</f>
        <v>NO SALARY DATA</v>
      </c>
      <c r="K49" s="7" t="s">
        <v>261</v>
      </c>
      <c r="L49" s="7" t="s">
        <v>427</v>
      </c>
      <c r="M49" s="7" t="s">
        <v>263</v>
      </c>
      <c r="N49" s="7" t="s">
        <v>260</v>
      </c>
      <c r="O49" s="7"/>
      <c r="P49" s="35"/>
      <c r="Q49" s="7"/>
    </row>
    <row r="50">
      <c r="A50" s="7">
        <v>45.0</v>
      </c>
      <c r="B50" s="7" t="s">
        <v>392</v>
      </c>
      <c r="C50" s="7" t="str">
        <f>IFERROR(__xludf.DUMMYFUNCTION("GOOGLETRANSLATE($B50, $A$2, $B$2)"),"10 days ago")</f>
        <v>10 days ago</v>
      </c>
      <c r="D50" s="7" t="s">
        <v>428</v>
      </c>
      <c r="E50" s="7" t="s">
        <v>271</v>
      </c>
      <c r="F50" s="7" t="s">
        <v>272</v>
      </c>
      <c r="G50" s="7" t="s">
        <v>260</v>
      </c>
      <c r="H50" s="7" t="s">
        <v>261</v>
      </c>
      <c r="I50" s="7" t="s">
        <v>261</v>
      </c>
      <c r="J50" s="7" t="str">
        <f>IFERROR(__xludf.DUMMYFUNCTION("GOOGLETRANSLATE($I50, ""de"", ""en"")"),"NO SALARY DATA")</f>
        <v>NO SALARY DATA</v>
      </c>
      <c r="K50" s="7" t="s">
        <v>261</v>
      </c>
      <c r="L50" s="7" t="s">
        <v>429</v>
      </c>
      <c r="M50" s="7" t="s">
        <v>430</v>
      </c>
      <c r="N50" s="7" t="s">
        <v>275</v>
      </c>
      <c r="O50" s="7"/>
      <c r="P50" s="35"/>
      <c r="Q50" s="7"/>
    </row>
    <row r="51">
      <c r="A51" s="7">
        <v>46.0</v>
      </c>
      <c r="B51" s="7" t="s">
        <v>371</v>
      </c>
      <c r="C51" s="7" t="str">
        <f>IFERROR(__xludf.DUMMYFUNCTION("GOOGLETRANSLATE($B51, $A$2, $B$2)"),"Straight")</f>
        <v>Straight</v>
      </c>
      <c r="D51" s="7" t="s">
        <v>431</v>
      </c>
      <c r="E51" s="7" t="s">
        <v>405</v>
      </c>
      <c r="F51" s="7" t="s">
        <v>432</v>
      </c>
      <c r="G51" s="7" t="s">
        <v>260</v>
      </c>
      <c r="H51" s="7" t="s">
        <v>261</v>
      </c>
      <c r="I51" s="7" t="s">
        <v>261</v>
      </c>
      <c r="J51" s="7" t="str">
        <f>IFERROR(__xludf.DUMMYFUNCTION("GOOGLETRANSLATE($I51, ""de"", ""en"")"),"NO SALARY DATA")</f>
        <v>NO SALARY DATA</v>
      </c>
      <c r="K51" s="7" t="s">
        <v>261</v>
      </c>
      <c r="L51" s="7" t="s">
        <v>433</v>
      </c>
      <c r="M51" s="7" t="s">
        <v>263</v>
      </c>
      <c r="N51" s="7" t="s">
        <v>434</v>
      </c>
      <c r="O51" s="7"/>
      <c r="P51" s="35"/>
      <c r="Q51" s="7"/>
    </row>
    <row r="52">
      <c r="A52" s="7">
        <v>47.0</v>
      </c>
      <c r="B52" s="7" t="s">
        <v>265</v>
      </c>
      <c r="C52" s="7" t="str">
        <f>IFERROR(__xludf.DUMMYFUNCTION("GOOGLETRANSLATE($B52, $A$2, $B$2)"),"More than 30 days ago")</f>
        <v>More than 30 days ago</v>
      </c>
      <c r="D52" s="7" t="s">
        <v>435</v>
      </c>
      <c r="E52" s="7" t="s">
        <v>436</v>
      </c>
      <c r="F52" s="7" t="s">
        <v>437</v>
      </c>
      <c r="G52" s="7" t="s">
        <v>260</v>
      </c>
      <c r="H52" s="7" t="s">
        <v>261</v>
      </c>
      <c r="I52" s="7" t="s">
        <v>261</v>
      </c>
      <c r="J52" s="7" t="str">
        <f>IFERROR(__xludf.DUMMYFUNCTION("GOOGLETRANSLATE($I52, ""de"", ""en"")"),"NO SALARY DATA")</f>
        <v>NO SALARY DATA</v>
      </c>
      <c r="K52" s="7" t="s">
        <v>261</v>
      </c>
      <c r="L52" s="7" t="s">
        <v>423</v>
      </c>
      <c r="M52" s="7" t="s">
        <v>263</v>
      </c>
      <c r="N52" s="7" t="s">
        <v>296</v>
      </c>
      <c r="O52" s="7"/>
      <c r="P52" s="37"/>
      <c r="Q52" s="7"/>
    </row>
    <row r="53">
      <c r="A53" s="7">
        <v>48.0</v>
      </c>
      <c r="B53" s="7" t="s">
        <v>269</v>
      </c>
      <c r="C53" s="7" t="str">
        <f>IFERROR(__xludf.DUMMYFUNCTION("GOOGLETRANSLATE($B53, $A$2, $B$2)"),"5 days ago")</f>
        <v>5 days ago</v>
      </c>
      <c r="D53" s="7" t="s">
        <v>438</v>
      </c>
      <c r="E53" s="7" t="s">
        <v>439</v>
      </c>
      <c r="F53" s="7" t="s">
        <v>440</v>
      </c>
      <c r="G53" s="7" t="s">
        <v>260</v>
      </c>
      <c r="H53" s="7" t="s">
        <v>261</v>
      </c>
      <c r="I53" s="7" t="s">
        <v>261</v>
      </c>
      <c r="J53" s="7" t="str">
        <f>IFERROR(__xludf.DUMMYFUNCTION("GOOGLETRANSLATE($I53, ""de"", ""en"")"),"NO SALARY DATA")</f>
        <v>NO SALARY DATA</v>
      </c>
      <c r="K53" s="7" t="s">
        <v>261</v>
      </c>
      <c r="L53" s="7" t="s">
        <v>441</v>
      </c>
      <c r="M53" s="7" t="s">
        <v>263</v>
      </c>
      <c r="N53" s="7" t="s">
        <v>260</v>
      </c>
      <c r="O53" s="7"/>
      <c r="P53" s="35"/>
      <c r="Q53" s="7"/>
    </row>
    <row r="54">
      <c r="A54" s="7">
        <v>49.0</v>
      </c>
      <c r="B54" s="7" t="s">
        <v>442</v>
      </c>
      <c r="C54" s="7" t="str">
        <f>IFERROR(__xludf.DUMMYFUNCTION("GOOGLETRANSLATE($B54, $A$2, $B$2)"),"26 days ago")</f>
        <v>26 days ago</v>
      </c>
      <c r="D54" s="7" t="s">
        <v>443</v>
      </c>
      <c r="E54" s="7" t="s">
        <v>408</v>
      </c>
      <c r="F54" s="7" t="s">
        <v>444</v>
      </c>
      <c r="G54" s="7" t="s">
        <v>260</v>
      </c>
      <c r="H54" s="7" t="s">
        <v>261</v>
      </c>
      <c r="I54" s="7" t="s">
        <v>261</v>
      </c>
      <c r="J54" s="7" t="str">
        <f>IFERROR(__xludf.DUMMYFUNCTION("GOOGLETRANSLATE($I54, ""de"", ""en"")"),"NO SALARY DATA")</f>
        <v>NO SALARY DATA</v>
      </c>
      <c r="K54" s="7" t="s">
        <v>261</v>
      </c>
      <c r="L54" s="7" t="s">
        <v>445</v>
      </c>
      <c r="M54" s="7" t="s">
        <v>263</v>
      </c>
      <c r="N54" s="7" t="s">
        <v>323</v>
      </c>
      <c r="O54" s="7"/>
      <c r="P54" s="35"/>
      <c r="Q54" s="7"/>
    </row>
    <row r="55">
      <c r="A55" s="7">
        <v>50.0</v>
      </c>
      <c r="B55" s="7" t="s">
        <v>256</v>
      </c>
      <c r="C55" s="7" t="str">
        <f>IFERROR(__xludf.DUMMYFUNCTION("GOOGLETRANSLATE($B55, $A$2, $B$2)"),"7 days ago")</f>
        <v>7 days ago</v>
      </c>
      <c r="D55" s="7" t="s">
        <v>446</v>
      </c>
      <c r="E55" s="7" t="s">
        <v>258</v>
      </c>
      <c r="F55" s="7" t="s">
        <v>447</v>
      </c>
      <c r="G55" s="7" t="s">
        <v>260</v>
      </c>
      <c r="H55" s="7" t="s">
        <v>261</v>
      </c>
      <c r="I55" s="7" t="s">
        <v>261</v>
      </c>
      <c r="J55" s="7" t="str">
        <f>IFERROR(__xludf.DUMMYFUNCTION("GOOGLETRANSLATE($I55, ""de"", ""en"")"),"NO SALARY DATA")</f>
        <v>NO SALARY DATA</v>
      </c>
      <c r="K55" s="7" t="s">
        <v>261</v>
      </c>
      <c r="L55" s="7" t="s">
        <v>312</v>
      </c>
      <c r="M55" s="7" t="s">
        <v>322</v>
      </c>
      <c r="N55" s="7" t="s">
        <v>331</v>
      </c>
      <c r="O55" s="7"/>
      <c r="P55" s="37"/>
      <c r="Q55" s="7"/>
    </row>
    <row r="56">
      <c r="A56" s="7">
        <v>51.0</v>
      </c>
      <c r="B56" s="7" t="s">
        <v>448</v>
      </c>
      <c r="C56" s="7" t="str">
        <f>IFERROR(__xludf.DUMMYFUNCTION("GOOGLETRANSLATE($B56, $A$2, $B$2)"),"23 days ago")</f>
        <v>23 days ago</v>
      </c>
      <c r="D56" s="7" t="s">
        <v>449</v>
      </c>
      <c r="E56" s="7" t="s">
        <v>348</v>
      </c>
      <c r="F56" s="7" t="s">
        <v>450</v>
      </c>
      <c r="G56" s="7" t="s">
        <v>260</v>
      </c>
      <c r="H56" s="7" t="s">
        <v>261</v>
      </c>
      <c r="I56" s="7" t="s">
        <v>261</v>
      </c>
      <c r="J56" s="7" t="str">
        <f>IFERROR(__xludf.DUMMYFUNCTION("GOOGLETRANSLATE($I56, ""de"", ""en"")"),"NO SALARY DATA")</f>
        <v>NO SALARY DATA</v>
      </c>
      <c r="K56" s="7" t="s">
        <v>261</v>
      </c>
      <c r="L56" s="7" t="s">
        <v>451</v>
      </c>
      <c r="M56" s="7" t="s">
        <v>452</v>
      </c>
      <c r="N56" s="7" t="s">
        <v>260</v>
      </c>
      <c r="O56" s="7"/>
      <c r="P56" s="35"/>
      <c r="Q56" s="7"/>
    </row>
    <row r="57">
      <c r="A57" s="7">
        <v>52.0</v>
      </c>
      <c r="B57" s="7" t="s">
        <v>265</v>
      </c>
      <c r="C57" s="7" t="str">
        <f>IFERROR(__xludf.DUMMYFUNCTION("GOOGLETRANSLATE($B57, $A$2, $B$2)"),"More than 30 days ago")</f>
        <v>More than 30 days ago</v>
      </c>
      <c r="D57" s="7" t="s">
        <v>453</v>
      </c>
      <c r="E57" s="7" t="s">
        <v>343</v>
      </c>
      <c r="F57" s="7" t="s">
        <v>454</v>
      </c>
      <c r="G57" s="7" t="s">
        <v>260</v>
      </c>
      <c r="H57" s="7" t="s">
        <v>261</v>
      </c>
      <c r="I57" s="7" t="s">
        <v>261</v>
      </c>
      <c r="J57" s="7" t="str">
        <f>IFERROR(__xludf.DUMMYFUNCTION("GOOGLETRANSLATE($I57, ""de"", ""en"")"),"NO SALARY DATA")</f>
        <v>NO SALARY DATA</v>
      </c>
      <c r="K57" s="7" t="s">
        <v>261</v>
      </c>
      <c r="L57" s="7" t="s">
        <v>455</v>
      </c>
      <c r="M57" s="7" t="s">
        <v>263</v>
      </c>
      <c r="N57" s="7" t="s">
        <v>331</v>
      </c>
      <c r="O57" s="7"/>
      <c r="P57" s="35"/>
      <c r="Q57" s="7"/>
    </row>
    <row r="58">
      <c r="A58" s="7">
        <v>53.0</v>
      </c>
      <c r="B58" s="7" t="s">
        <v>375</v>
      </c>
      <c r="C58" s="7" t="str">
        <f>IFERROR(__xludf.DUMMYFUNCTION("GOOGLETRANSLATE($B58, $A$2, $B$2)"),"6 days ago")</f>
        <v>6 days ago</v>
      </c>
      <c r="D58" s="7" t="s">
        <v>456</v>
      </c>
      <c r="E58" s="7" t="s">
        <v>271</v>
      </c>
      <c r="F58" s="7" t="s">
        <v>378</v>
      </c>
      <c r="G58" s="7" t="s">
        <v>260</v>
      </c>
      <c r="H58" s="7" t="s">
        <v>261</v>
      </c>
      <c r="I58" s="7" t="s">
        <v>261</v>
      </c>
      <c r="J58" s="7" t="str">
        <f>IFERROR(__xludf.DUMMYFUNCTION("GOOGLETRANSLATE($I58, ""de"", ""en"")"),"NO SALARY DATA")</f>
        <v>NO SALARY DATA</v>
      </c>
      <c r="K58" s="7" t="s">
        <v>261</v>
      </c>
      <c r="L58" s="7" t="s">
        <v>457</v>
      </c>
      <c r="M58" s="7" t="s">
        <v>263</v>
      </c>
      <c r="N58" s="7" t="s">
        <v>275</v>
      </c>
      <c r="O58" s="7"/>
      <c r="P58" s="37"/>
      <c r="Q58" s="7"/>
    </row>
    <row r="59">
      <c r="A59" s="7">
        <v>54.0</v>
      </c>
      <c r="B59" s="7" t="s">
        <v>265</v>
      </c>
      <c r="C59" s="7" t="str">
        <f>IFERROR(__xludf.DUMMYFUNCTION("GOOGLETRANSLATE($B59, $A$2, $B$2)"),"More than 30 days ago")</f>
        <v>More than 30 days ago</v>
      </c>
      <c r="D59" s="7" t="s">
        <v>458</v>
      </c>
      <c r="E59" s="7" t="s">
        <v>280</v>
      </c>
      <c r="F59" s="7" t="s">
        <v>459</v>
      </c>
      <c r="G59" s="7" t="s">
        <v>260</v>
      </c>
      <c r="H59" s="7" t="s">
        <v>261</v>
      </c>
      <c r="I59" s="7" t="s">
        <v>261</v>
      </c>
      <c r="J59" s="7" t="str">
        <f>IFERROR(__xludf.DUMMYFUNCTION("GOOGLETRANSLATE($I59, ""de"", ""en"")"),"NO SALARY DATA")</f>
        <v>NO SALARY DATA</v>
      </c>
      <c r="K59" s="7" t="s">
        <v>261</v>
      </c>
      <c r="L59" s="7" t="s">
        <v>455</v>
      </c>
      <c r="M59" s="7" t="s">
        <v>263</v>
      </c>
      <c r="N59" s="7" t="s">
        <v>260</v>
      </c>
      <c r="O59" s="7"/>
      <c r="P59" s="35"/>
      <c r="Q59" s="7"/>
    </row>
    <row r="60">
      <c r="A60" s="7">
        <v>55.0</v>
      </c>
      <c r="B60" s="7" t="s">
        <v>292</v>
      </c>
      <c r="C60" s="7" t="str">
        <f>IFERROR(__xludf.DUMMYFUNCTION("GOOGLETRANSLATE($B60, $A$2, $B$2)"),"1 day ago")</f>
        <v>1 day ago</v>
      </c>
      <c r="D60" s="7" t="s">
        <v>460</v>
      </c>
      <c r="E60" s="7" t="s">
        <v>461</v>
      </c>
      <c r="F60" s="7" t="s">
        <v>462</v>
      </c>
      <c r="G60" s="7" t="s">
        <v>260</v>
      </c>
      <c r="H60" s="7" t="s">
        <v>261</v>
      </c>
      <c r="I60" s="7" t="s">
        <v>261</v>
      </c>
      <c r="J60" s="7" t="str">
        <f>IFERROR(__xludf.DUMMYFUNCTION("GOOGLETRANSLATE($I60, ""de"", ""en"")"),"NO SALARY DATA")</f>
        <v>NO SALARY DATA</v>
      </c>
      <c r="K60" s="7" t="s">
        <v>261</v>
      </c>
      <c r="L60" s="7" t="s">
        <v>463</v>
      </c>
      <c r="M60" s="7" t="s">
        <v>263</v>
      </c>
      <c r="N60" s="7" t="s">
        <v>434</v>
      </c>
      <c r="O60" s="7"/>
      <c r="P60" s="35"/>
      <c r="Q60" s="7"/>
    </row>
    <row r="61">
      <c r="A61" s="7">
        <v>56.0</v>
      </c>
      <c r="B61" s="7" t="s">
        <v>265</v>
      </c>
      <c r="C61" s="7" t="str">
        <f>IFERROR(__xludf.DUMMYFUNCTION("GOOGLETRANSLATE($B61, $A$2, $B$2)"),"More than 30 days ago")</f>
        <v>More than 30 days ago</v>
      </c>
      <c r="D61" s="7" t="s">
        <v>464</v>
      </c>
      <c r="E61" s="7" t="s">
        <v>465</v>
      </c>
      <c r="F61" s="7" t="s">
        <v>466</v>
      </c>
      <c r="G61" s="7" t="s">
        <v>260</v>
      </c>
      <c r="H61" s="7" t="s">
        <v>261</v>
      </c>
      <c r="I61" s="7" t="s">
        <v>261</v>
      </c>
      <c r="J61" s="7" t="str">
        <f>IFERROR(__xludf.DUMMYFUNCTION("GOOGLETRANSLATE($I61, ""de"", ""en"")"),"NO SALARY DATA")</f>
        <v>NO SALARY DATA</v>
      </c>
      <c r="K61" s="7" t="s">
        <v>261</v>
      </c>
      <c r="L61" s="7" t="s">
        <v>345</v>
      </c>
      <c r="M61" s="7" t="s">
        <v>263</v>
      </c>
      <c r="N61" s="7" t="s">
        <v>336</v>
      </c>
      <c r="O61" s="7"/>
      <c r="P61" s="37"/>
      <c r="Q61" s="7"/>
    </row>
    <row r="62">
      <c r="A62" s="7">
        <v>57.0</v>
      </c>
      <c r="B62" s="7" t="s">
        <v>265</v>
      </c>
      <c r="C62" s="7" t="str">
        <f>IFERROR(__xludf.DUMMYFUNCTION("GOOGLETRANSLATE($B62, $A$2, $B$2)"),"More than 30 days ago")</f>
        <v>More than 30 days ago</v>
      </c>
      <c r="D62" s="7" t="s">
        <v>467</v>
      </c>
      <c r="E62" s="7" t="s">
        <v>258</v>
      </c>
      <c r="F62" s="7" t="s">
        <v>468</v>
      </c>
      <c r="G62" s="7" t="s">
        <v>260</v>
      </c>
      <c r="H62" s="7" t="s">
        <v>261</v>
      </c>
      <c r="I62" s="7" t="s">
        <v>261</v>
      </c>
      <c r="J62" s="7" t="str">
        <f>IFERROR(__xludf.DUMMYFUNCTION("GOOGLETRANSLATE($I62, ""de"", ""en"")"),"NO SALARY DATA")</f>
        <v>NO SALARY DATA</v>
      </c>
      <c r="K62" s="7" t="s">
        <v>261</v>
      </c>
      <c r="L62" s="7" t="s">
        <v>295</v>
      </c>
      <c r="M62" s="7" t="s">
        <v>263</v>
      </c>
      <c r="N62" s="7" t="s">
        <v>260</v>
      </c>
      <c r="O62" s="7"/>
      <c r="P62" s="35"/>
      <c r="Q62" s="7"/>
    </row>
    <row r="63">
      <c r="A63" s="7">
        <v>58.0</v>
      </c>
      <c r="B63" s="7" t="s">
        <v>469</v>
      </c>
      <c r="C63" s="7" t="str">
        <f>IFERROR(__xludf.DUMMYFUNCTION("GOOGLETRANSLATE($B63, $A$2, $B$2)"),"19 days ago")</f>
        <v>19 days ago</v>
      </c>
      <c r="D63" s="7" t="s">
        <v>470</v>
      </c>
      <c r="E63" s="7" t="s">
        <v>348</v>
      </c>
      <c r="F63" s="7" t="s">
        <v>471</v>
      </c>
      <c r="G63" s="7" t="s">
        <v>260</v>
      </c>
      <c r="H63" s="7" t="s">
        <v>261</v>
      </c>
      <c r="I63" s="7" t="s">
        <v>261</v>
      </c>
      <c r="J63" s="7" t="str">
        <f>IFERROR(__xludf.DUMMYFUNCTION("GOOGLETRANSLATE($I63, ""de"", ""en"")"),"NO SALARY DATA")</f>
        <v>NO SALARY DATA</v>
      </c>
      <c r="K63" s="7" t="s">
        <v>261</v>
      </c>
      <c r="L63" s="7" t="s">
        <v>472</v>
      </c>
      <c r="M63" s="7" t="s">
        <v>263</v>
      </c>
      <c r="N63" s="7" t="s">
        <v>473</v>
      </c>
      <c r="O63" s="7"/>
      <c r="P63" s="35"/>
      <c r="Q63" s="7"/>
    </row>
    <row r="64">
      <c r="A64" s="7">
        <v>59.0</v>
      </c>
      <c r="B64" s="7" t="s">
        <v>269</v>
      </c>
      <c r="C64" s="7" t="str">
        <f>IFERROR(__xludf.DUMMYFUNCTION("GOOGLETRANSLATE($B64, $A$2, $B$2)"),"5 days ago")</f>
        <v>5 days ago</v>
      </c>
      <c r="D64" s="7" t="s">
        <v>474</v>
      </c>
      <c r="E64" s="7" t="s">
        <v>408</v>
      </c>
      <c r="F64" s="7" t="s">
        <v>444</v>
      </c>
      <c r="G64" s="7" t="s">
        <v>260</v>
      </c>
      <c r="H64" s="7" t="s">
        <v>261</v>
      </c>
      <c r="I64" s="7" t="s">
        <v>261</v>
      </c>
      <c r="J64" s="7" t="str">
        <f>IFERROR(__xludf.DUMMYFUNCTION("GOOGLETRANSLATE($I64, ""de"", ""en"")"),"NO SALARY DATA")</f>
        <v>NO SALARY DATA</v>
      </c>
      <c r="K64" s="7" t="s">
        <v>261</v>
      </c>
      <c r="L64" s="7" t="s">
        <v>475</v>
      </c>
      <c r="M64" s="7" t="s">
        <v>263</v>
      </c>
      <c r="N64" s="7" t="s">
        <v>323</v>
      </c>
      <c r="O64" s="7"/>
      <c r="P64" s="35"/>
      <c r="Q64" s="7"/>
    </row>
    <row r="65">
      <c r="A65" s="7">
        <v>60.0</v>
      </c>
      <c r="B65" s="7" t="s">
        <v>469</v>
      </c>
      <c r="C65" s="7" t="str">
        <f>IFERROR(__xludf.DUMMYFUNCTION("GOOGLETRANSLATE($B65, $A$2, $B$2)"),"19 days ago")</f>
        <v>19 days ago</v>
      </c>
      <c r="D65" s="7" t="s">
        <v>476</v>
      </c>
      <c r="E65" s="7" t="s">
        <v>348</v>
      </c>
      <c r="F65" s="7" t="s">
        <v>471</v>
      </c>
      <c r="G65" s="7" t="s">
        <v>260</v>
      </c>
      <c r="H65" s="7" t="s">
        <v>261</v>
      </c>
      <c r="I65" s="7" t="s">
        <v>261</v>
      </c>
      <c r="J65" s="7" t="str">
        <f>IFERROR(__xludf.DUMMYFUNCTION("GOOGLETRANSLATE($I65, ""de"", ""en"")"),"NO SALARY DATA")</f>
        <v>NO SALARY DATA</v>
      </c>
      <c r="K65" s="7" t="s">
        <v>261</v>
      </c>
      <c r="L65" s="7" t="s">
        <v>472</v>
      </c>
      <c r="M65" s="7" t="s">
        <v>322</v>
      </c>
      <c r="N65" s="7" t="s">
        <v>473</v>
      </c>
      <c r="O65" s="7"/>
      <c r="P65" s="35"/>
      <c r="Q65" s="7"/>
    </row>
    <row r="66">
      <c r="A66" s="7">
        <v>61.0</v>
      </c>
      <c r="B66" s="7" t="s">
        <v>265</v>
      </c>
      <c r="C66" s="7" t="str">
        <f>IFERROR(__xludf.DUMMYFUNCTION("GOOGLETRANSLATE($B66, $A$2, $B$2)"),"More than 30 days ago")</f>
        <v>More than 30 days ago</v>
      </c>
      <c r="D66" s="7" t="s">
        <v>477</v>
      </c>
      <c r="E66" s="7" t="s">
        <v>271</v>
      </c>
      <c r="F66" s="7" t="s">
        <v>478</v>
      </c>
      <c r="G66" s="7" t="s">
        <v>260</v>
      </c>
      <c r="H66" s="7" t="s">
        <v>261</v>
      </c>
      <c r="I66" s="7" t="s">
        <v>261</v>
      </c>
      <c r="J66" s="7" t="str">
        <f>IFERROR(__xludf.DUMMYFUNCTION("GOOGLETRANSLATE($I66, ""de"", ""en"")"),"NO SALARY DATA")</f>
        <v>NO SALARY DATA</v>
      </c>
      <c r="K66" s="7" t="s">
        <v>261</v>
      </c>
      <c r="L66" s="7" t="s">
        <v>455</v>
      </c>
      <c r="M66" s="7" t="s">
        <v>274</v>
      </c>
      <c r="N66" s="7" t="s">
        <v>336</v>
      </c>
      <c r="O66" s="7"/>
      <c r="P66" s="37"/>
      <c r="Q66" s="7"/>
    </row>
    <row r="67">
      <c r="A67" s="7">
        <v>62.0</v>
      </c>
      <c r="B67" s="7" t="s">
        <v>269</v>
      </c>
      <c r="C67" s="7" t="str">
        <f>IFERROR(__xludf.DUMMYFUNCTION("GOOGLETRANSLATE($B67, $A$2, $B$2)"),"5 days ago")</f>
        <v>5 days ago</v>
      </c>
      <c r="D67" s="7" t="s">
        <v>479</v>
      </c>
      <c r="E67" s="7" t="s">
        <v>480</v>
      </c>
      <c r="F67" s="7" t="s">
        <v>481</v>
      </c>
      <c r="G67" s="7" t="s">
        <v>260</v>
      </c>
      <c r="H67" s="7" t="s">
        <v>261</v>
      </c>
      <c r="I67" s="7" t="s">
        <v>261</v>
      </c>
      <c r="J67" s="7" t="str">
        <f>IFERROR(__xludf.DUMMYFUNCTION("GOOGLETRANSLATE($I67, ""de"", ""en"")"),"NO SALARY DATA")</f>
        <v>NO SALARY DATA</v>
      </c>
      <c r="K67" s="7" t="s">
        <v>261</v>
      </c>
      <c r="L67" s="7" t="s">
        <v>345</v>
      </c>
      <c r="M67" s="7" t="s">
        <v>263</v>
      </c>
      <c r="N67" s="7" t="s">
        <v>260</v>
      </c>
      <c r="O67" s="7"/>
      <c r="P67" s="35"/>
      <c r="Q67" s="7"/>
    </row>
    <row r="68">
      <c r="A68" s="7">
        <v>63.0</v>
      </c>
      <c r="B68" s="7" t="s">
        <v>265</v>
      </c>
      <c r="C68" s="7" t="str">
        <f>IFERROR(__xludf.DUMMYFUNCTION("GOOGLETRANSLATE($B68, $A$2, $B$2)"),"More than 30 days ago")</f>
        <v>More than 30 days ago</v>
      </c>
      <c r="D68" s="7" t="s">
        <v>482</v>
      </c>
      <c r="E68" s="7" t="s">
        <v>483</v>
      </c>
      <c r="F68" s="7" t="s">
        <v>484</v>
      </c>
      <c r="G68" s="7" t="s">
        <v>260</v>
      </c>
      <c r="H68" s="7" t="s">
        <v>261</v>
      </c>
      <c r="I68" s="7" t="s">
        <v>261</v>
      </c>
      <c r="J68" s="7" t="str">
        <f>IFERROR(__xludf.DUMMYFUNCTION("GOOGLETRANSLATE($I68, ""de"", ""en"")"),"NO SALARY DATA")</f>
        <v>NO SALARY DATA</v>
      </c>
      <c r="K68" s="7" t="s">
        <v>261</v>
      </c>
      <c r="L68" s="7" t="s">
        <v>485</v>
      </c>
      <c r="M68" s="7" t="s">
        <v>263</v>
      </c>
      <c r="N68" s="7" t="s">
        <v>486</v>
      </c>
      <c r="O68" s="7"/>
      <c r="P68" s="35"/>
      <c r="Q68" s="7"/>
    </row>
    <row r="69">
      <c r="A69" s="7">
        <v>64.0</v>
      </c>
      <c r="B69" s="7" t="s">
        <v>265</v>
      </c>
      <c r="C69" s="7" t="str">
        <f>IFERROR(__xludf.DUMMYFUNCTION("GOOGLETRANSLATE($B69, $A$2, $B$2)"),"More than 30 days ago")</f>
        <v>More than 30 days ago</v>
      </c>
      <c r="D69" s="7" t="s">
        <v>487</v>
      </c>
      <c r="E69" s="7" t="s">
        <v>488</v>
      </c>
      <c r="F69" s="7" t="s">
        <v>489</v>
      </c>
      <c r="G69" s="7" t="s">
        <v>260</v>
      </c>
      <c r="H69" s="7" t="s">
        <v>261</v>
      </c>
      <c r="I69" s="7" t="s">
        <v>261</v>
      </c>
      <c r="J69" s="7" t="str">
        <f>IFERROR(__xludf.DUMMYFUNCTION("GOOGLETRANSLATE($I69, ""de"", ""en"")"),"NO SALARY DATA")</f>
        <v>NO SALARY DATA</v>
      </c>
      <c r="K69" s="7" t="s">
        <v>261</v>
      </c>
      <c r="L69" s="7" t="s">
        <v>490</v>
      </c>
      <c r="M69" s="7" t="s">
        <v>263</v>
      </c>
      <c r="N69" s="7" t="s">
        <v>491</v>
      </c>
      <c r="O69" s="7"/>
      <c r="P69" s="37"/>
      <c r="Q69" s="7"/>
    </row>
    <row r="70">
      <c r="A70" s="7">
        <v>65.0</v>
      </c>
      <c r="B70" s="7" t="s">
        <v>332</v>
      </c>
      <c r="C70" s="7" t="str">
        <f>IFERROR(__xludf.DUMMYFUNCTION("GOOGLETRANSLATE($B70, $A$2, $B$2)"),"4 days ago")</f>
        <v>4 days ago</v>
      </c>
      <c r="D70" s="7" t="s">
        <v>492</v>
      </c>
      <c r="E70" s="7" t="s">
        <v>401</v>
      </c>
      <c r="F70" s="7" t="s">
        <v>493</v>
      </c>
      <c r="G70" s="7" t="s">
        <v>260</v>
      </c>
      <c r="H70" s="7" t="s">
        <v>261</v>
      </c>
      <c r="I70" s="7" t="s">
        <v>261</v>
      </c>
      <c r="J70" s="7" t="str">
        <f>IFERROR(__xludf.DUMMYFUNCTION("GOOGLETRANSLATE($I70, ""de"", ""en"")"),"NO SALARY DATA")</f>
        <v>NO SALARY DATA</v>
      </c>
      <c r="K70" s="7" t="s">
        <v>261</v>
      </c>
      <c r="L70" s="7" t="s">
        <v>494</v>
      </c>
      <c r="M70" s="7" t="s">
        <v>263</v>
      </c>
      <c r="N70" s="7" t="s">
        <v>260</v>
      </c>
      <c r="O70" s="7"/>
      <c r="P70" s="37"/>
      <c r="Q70" s="7"/>
    </row>
    <row r="71">
      <c r="A71" s="7">
        <v>66.0</v>
      </c>
      <c r="B71" s="7" t="s">
        <v>324</v>
      </c>
      <c r="C71" s="7" t="str">
        <f>IFERROR(__xludf.DUMMYFUNCTION("GOOGLETRANSLATE($B71, $A$2, $B$2)"),"3 days ago")</f>
        <v>3 days ago</v>
      </c>
      <c r="D71" s="7" t="s">
        <v>495</v>
      </c>
      <c r="E71" s="7" t="s">
        <v>280</v>
      </c>
      <c r="F71" s="7" t="s">
        <v>496</v>
      </c>
      <c r="G71" s="7" t="s">
        <v>260</v>
      </c>
      <c r="H71" s="7" t="s">
        <v>261</v>
      </c>
      <c r="I71" s="7" t="s">
        <v>261</v>
      </c>
      <c r="J71" s="7" t="str">
        <f>IFERROR(__xludf.DUMMYFUNCTION("GOOGLETRANSLATE($I71, ""de"", ""en"")"),"NO SALARY DATA")</f>
        <v>NO SALARY DATA</v>
      </c>
      <c r="K71" s="7" t="s">
        <v>261</v>
      </c>
      <c r="L71" s="7" t="s">
        <v>497</v>
      </c>
      <c r="M71" s="7" t="s">
        <v>263</v>
      </c>
      <c r="N71" s="7" t="s">
        <v>260</v>
      </c>
      <c r="O71" s="7"/>
      <c r="P71" s="35"/>
      <c r="Q71" s="7"/>
    </row>
    <row r="72">
      <c r="A72" s="7">
        <v>67.0</v>
      </c>
      <c r="B72" s="7" t="s">
        <v>269</v>
      </c>
      <c r="C72" s="7" t="str">
        <f>IFERROR(__xludf.DUMMYFUNCTION("GOOGLETRANSLATE($B72, $A$2, $B$2)"),"5 days ago")</f>
        <v>5 days ago</v>
      </c>
      <c r="D72" s="7" t="s">
        <v>498</v>
      </c>
      <c r="E72" s="7" t="s">
        <v>348</v>
      </c>
      <c r="F72" s="7" t="s">
        <v>499</v>
      </c>
      <c r="G72" s="7" t="s">
        <v>260</v>
      </c>
      <c r="H72" s="7" t="s">
        <v>261</v>
      </c>
      <c r="I72" s="7" t="s">
        <v>261</v>
      </c>
      <c r="J72" s="7" t="str">
        <f>IFERROR(__xludf.DUMMYFUNCTION("GOOGLETRANSLATE($I72, ""de"", ""en"")"),"NO SALARY DATA")</f>
        <v>NO SALARY DATA</v>
      </c>
      <c r="K72" s="7" t="s">
        <v>261</v>
      </c>
      <c r="L72" s="7" t="s">
        <v>500</v>
      </c>
      <c r="M72" s="7" t="s">
        <v>263</v>
      </c>
      <c r="N72" s="7" t="s">
        <v>323</v>
      </c>
      <c r="O72" s="7"/>
      <c r="P72" s="37"/>
      <c r="Q72" s="7"/>
    </row>
    <row r="73">
      <c r="A73" s="7">
        <v>68.0</v>
      </c>
      <c r="B73" s="7" t="s">
        <v>265</v>
      </c>
      <c r="C73" s="7" t="str">
        <f>IFERROR(__xludf.DUMMYFUNCTION("GOOGLETRANSLATE($B73, $A$2, $B$2)"),"More than 30 days ago")</f>
        <v>More than 30 days ago</v>
      </c>
      <c r="D73" s="7" t="s">
        <v>501</v>
      </c>
      <c r="E73" s="7" t="s">
        <v>405</v>
      </c>
      <c r="F73" s="7" t="s">
        <v>502</v>
      </c>
      <c r="G73" s="7" t="s">
        <v>260</v>
      </c>
      <c r="H73" s="7" t="s">
        <v>261</v>
      </c>
      <c r="I73" s="7" t="s">
        <v>261</v>
      </c>
      <c r="J73" s="7" t="str">
        <f>IFERROR(__xludf.DUMMYFUNCTION("GOOGLETRANSLATE($I73, ""de"", ""en"")"),"NO SALARY DATA")</f>
        <v>NO SALARY DATA</v>
      </c>
      <c r="K73" s="7" t="s">
        <v>261</v>
      </c>
      <c r="L73" s="7" t="s">
        <v>427</v>
      </c>
      <c r="M73" s="7" t="s">
        <v>263</v>
      </c>
      <c r="N73" s="7" t="s">
        <v>260</v>
      </c>
      <c r="O73" s="7"/>
      <c r="P73" s="35"/>
      <c r="Q73" s="7"/>
    </row>
    <row r="74">
      <c r="A74" s="7">
        <v>69.0</v>
      </c>
      <c r="B74" s="7" t="s">
        <v>265</v>
      </c>
      <c r="C74" s="7" t="str">
        <f>IFERROR(__xludf.DUMMYFUNCTION("GOOGLETRANSLATE($B74, $A$2, $B$2)"),"More than 30 days ago")</f>
        <v>More than 30 days ago</v>
      </c>
      <c r="D74" s="7" t="s">
        <v>503</v>
      </c>
      <c r="E74" s="7" t="s">
        <v>271</v>
      </c>
      <c r="F74" s="7" t="s">
        <v>504</v>
      </c>
      <c r="G74" s="7" t="s">
        <v>260</v>
      </c>
      <c r="H74" s="7" t="s">
        <v>261</v>
      </c>
      <c r="I74" s="7" t="s">
        <v>261</v>
      </c>
      <c r="J74" s="7" t="str">
        <f>IFERROR(__xludf.DUMMYFUNCTION("GOOGLETRANSLATE($I74, ""de"", ""en"")"),"NO SALARY DATA")</f>
        <v>NO SALARY DATA</v>
      </c>
      <c r="K74" s="7" t="s">
        <v>261</v>
      </c>
      <c r="L74" s="7" t="s">
        <v>425</v>
      </c>
      <c r="M74" s="7" t="s">
        <v>263</v>
      </c>
      <c r="N74" s="7" t="s">
        <v>275</v>
      </c>
      <c r="O74" s="7"/>
      <c r="P74" s="35"/>
      <c r="Q74" s="7"/>
    </row>
    <row r="75">
      <c r="A75" s="7">
        <v>70.0</v>
      </c>
      <c r="B75" s="7" t="s">
        <v>265</v>
      </c>
      <c r="C75" s="7" t="str">
        <f>IFERROR(__xludf.DUMMYFUNCTION("GOOGLETRANSLATE($B75, $A$2, $B$2)"),"More than 30 days ago")</f>
        <v>More than 30 days ago</v>
      </c>
      <c r="D75" s="7" t="s">
        <v>505</v>
      </c>
      <c r="E75" s="7" t="s">
        <v>343</v>
      </c>
      <c r="F75" s="7" t="s">
        <v>506</v>
      </c>
      <c r="G75" s="7" t="s">
        <v>260</v>
      </c>
      <c r="H75" s="7" t="s">
        <v>261</v>
      </c>
      <c r="I75" s="7" t="s">
        <v>261</v>
      </c>
      <c r="J75" s="7" t="str">
        <f>IFERROR(__xludf.DUMMYFUNCTION("GOOGLETRANSLATE($I75, ""de"", ""en"")"),"NO SALARY DATA")</f>
        <v>NO SALARY DATA</v>
      </c>
      <c r="K75" s="7" t="s">
        <v>261</v>
      </c>
      <c r="L75" s="7"/>
      <c r="M75" s="7" t="s">
        <v>263</v>
      </c>
      <c r="N75" s="7" t="s">
        <v>507</v>
      </c>
      <c r="O75" s="7"/>
      <c r="P75" s="35"/>
      <c r="Q75" s="7"/>
    </row>
    <row r="76">
      <c r="A76" s="7">
        <v>71.0</v>
      </c>
      <c r="B76" s="7" t="s">
        <v>508</v>
      </c>
      <c r="C76" s="7" t="str">
        <f>IFERROR(__xludf.DUMMYFUNCTION("GOOGLETRANSLATE($B76, $A$2, $B$2)"),"24 days ago")</f>
        <v>24 days ago</v>
      </c>
      <c r="D76" s="7" t="s">
        <v>509</v>
      </c>
      <c r="E76" s="7" t="s">
        <v>510</v>
      </c>
      <c r="F76" s="7" t="s">
        <v>511</v>
      </c>
      <c r="G76" s="7" t="s">
        <v>260</v>
      </c>
      <c r="H76" s="7" t="s">
        <v>261</v>
      </c>
      <c r="I76" s="7" t="s">
        <v>261</v>
      </c>
      <c r="J76" s="7" t="str">
        <f>IFERROR(__xludf.DUMMYFUNCTION("GOOGLETRANSLATE($I76, ""de"", ""en"")"),"NO SALARY DATA")</f>
        <v>NO SALARY DATA</v>
      </c>
      <c r="K76" s="7" t="s">
        <v>261</v>
      </c>
      <c r="L76" s="7" t="s">
        <v>512</v>
      </c>
      <c r="M76" s="7" t="s">
        <v>263</v>
      </c>
      <c r="N76" s="7" t="s">
        <v>399</v>
      </c>
      <c r="O76" s="7"/>
      <c r="P76" s="35"/>
      <c r="Q76" s="7"/>
    </row>
    <row r="77">
      <c r="A77" s="7">
        <v>72.0</v>
      </c>
      <c r="B77" s="7" t="s">
        <v>265</v>
      </c>
      <c r="C77" s="7" t="str">
        <f>IFERROR(__xludf.DUMMYFUNCTION("GOOGLETRANSLATE($B77, $A$2, $B$2)"),"More than 30 days ago")</f>
        <v>More than 30 days ago</v>
      </c>
      <c r="D77" s="7" t="s">
        <v>477</v>
      </c>
      <c r="E77" s="7" t="s">
        <v>271</v>
      </c>
      <c r="F77" s="7" t="s">
        <v>478</v>
      </c>
      <c r="G77" s="7" t="s">
        <v>260</v>
      </c>
      <c r="H77" s="7" t="s">
        <v>261</v>
      </c>
      <c r="I77" s="7" t="s">
        <v>261</v>
      </c>
      <c r="J77" s="7" t="str">
        <f>IFERROR(__xludf.DUMMYFUNCTION("GOOGLETRANSLATE($I77, ""de"", ""en"")"),"NO SALARY DATA")</f>
        <v>NO SALARY DATA</v>
      </c>
      <c r="K77" s="7" t="s">
        <v>261</v>
      </c>
      <c r="L77" s="7" t="s">
        <v>455</v>
      </c>
      <c r="M77" s="7" t="s">
        <v>274</v>
      </c>
      <c r="N77" s="7" t="s">
        <v>336</v>
      </c>
      <c r="O77" s="7"/>
      <c r="P77" s="35"/>
      <c r="Q77" s="7"/>
    </row>
    <row r="78">
      <c r="A78" s="7">
        <v>73.0</v>
      </c>
      <c r="B78" s="7" t="s">
        <v>265</v>
      </c>
      <c r="C78" s="7" t="str">
        <f>IFERROR(__xludf.DUMMYFUNCTION("GOOGLETRANSLATE($B78, $A$2, $B$2)"),"More than 30 days ago")</f>
        <v>More than 30 days ago</v>
      </c>
      <c r="D78" s="7" t="s">
        <v>411</v>
      </c>
      <c r="E78" s="7" t="s">
        <v>348</v>
      </c>
      <c r="F78" s="7" t="s">
        <v>412</v>
      </c>
      <c r="G78" s="7" t="s">
        <v>260</v>
      </c>
      <c r="H78" s="7" t="s">
        <v>261</v>
      </c>
      <c r="I78" s="7" t="s">
        <v>261</v>
      </c>
      <c r="J78" s="7" t="str">
        <f>IFERROR(__xludf.DUMMYFUNCTION("GOOGLETRANSLATE($I78, ""de"", ""en"")"),"NO SALARY DATA")</f>
        <v>NO SALARY DATA</v>
      </c>
      <c r="K78" s="7" t="s">
        <v>261</v>
      </c>
      <c r="L78" s="7" t="s">
        <v>413</v>
      </c>
      <c r="M78" s="7" t="s">
        <v>414</v>
      </c>
      <c r="N78" s="7" t="s">
        <v>323</v>
      </c>
      <c r="O78" s="7"/>
      <c r="P78" s="35"/>
      <c r="Q78" s="7"/>
    </row>
    <row r="79">
      <c r="A79" s="7">
        <v>74.0</v>
      </c>
      <c r="B79" s="7" t="s">
        <v>324</v>
      </c>
      <c r="C79" s="7" t="str">
        <f>IFERROR(__xludf.DUMMYFUNCTION("GOOGLETRANSLATE($B79, $A$2, $B$2)"),"3 days ago")</f>
        <v>3 days ago</v>
      </c>
      <c r="D79" s="7" t="s">
        <v>513</v>
      </c>
      <c r="E79" s="7" t="s">
        <v>343</v>
      </c>
      <c r="F79" s="7" t="s">
        <v>514</v>
      </c>
      <c r="G79" s="7" t="s">
        <v>260</v>
      </c>
      <c r="H79" s="7" t="s">
        <v>261</v>
      </c>
      <c r="I79" s="7" t="s">
        <v>261</v>
      </c>
      <c r="J79" s="7" t="str">
        <f>IFERROR(__xludf.DUMMYFUNCTION("GOOGLETRANSLATE($I79, ""de"", ""en"")"),"NO SALARY DATA")</f>
        <v>NO SALARY DATA</v>
      </c>
      <c r="K79" s="7" t="s">
        <v>261</v>
      </c>
      <c r="L79" s="7" t="s">
        <v>291</v>
      </c>
      <c r="M79" s="7" t="s">
        <v>263</v>
      </c>
      <c r="N79" s="7" t="s">
        <v>491</v>
      </c>
      <c r="O79" s="7"/>
      <c r="P79" s="35"/>
      <c r="Q79" s="7"/>
    </row>
    <row r="80">
      <c r="A80" s="7">
        <v>75.0</v>
      </c>
      <c r="B80" s="7" t="s">
        <v>375</v>
      </c>
      <c r="C80" s="7" t="str">
        <f>IFERROR(__xludf.DUMMYFUNCTION("GOOGLETRANSLATE($B80, $A$2, $B$2)"),"6 days ago")</f>
        <v>6 days ago</v>
      </c>
      <c r="D80" s="7" t="s">
        <v>456</v>
      </c>
      <c r="E80" s="7" t="s">
        <v>271</v>
      </c>
      <c r="F80" s="7" t="s">
        <v>378</v>
      </c>
      <c r="G80" s="7" t="s">
        <v>260</v>
      </c>
      <c r="H80" s="7" t="s">
        <v>261</v>
      </c>
      <c r="I80" s="7" t="s">
        <v>261</v>
      </c>
      <c r="J80" s="7" t="str">
        <f>IFERROR(__xludf.DUMMYFUNCTION("GOOGLETRANSLATE($I80, ""de"", ""en"")"),"NO SALARY DATA")</f>
        <v>NO SALARY DATA</v>
      </c>
      <c r="K80" s="7" t="s">
        <v>261</v>
      </c>
      <c r="L80" s="7" t="s">
        <v>457</v>
      </c>
      <c r="M80" s="7" t="s">
        <v>263</v>
      </c>
      <c r="N80" s="7" t="s">
        <v>275</v>
      </c>
      <c r="O80" s="7"/>
      <c r="P80" s="35"/>
      <c r="Q80" s="7"/>
    </row>
    <row r="81">
      <c r="A81" s="7">
        <v>76.0</v>
      </c>
      <c r="B81" s="7" t="s">
        <v>346</v>
      </c>
      <c r="C81" s="7" t="str">
        <f>IFERROR(__xludf.DUMMYFUNCTION("GOOGLETRANSLATE($B81, $A$2, $B$2)"),"12 days ago")</f>
        <v>12 days ago</v>
      </c>
      <c r="D81" s="7" t="s">
        <v>515</v>
      </c>
      <c r="E81" s="7" t="s">
        <v>516</v>
      </c>
      <c r="F81" s="7" t="s">
        <v>517</v>
      </c>
      <c r="G81" s="7" t="s">
        <v>260</v>
      </c>
      <c r="H81" s="7" t="s">
        <v>261</v>
      </c>
      <c r="I81" s="7" t="s">
        <v>261</v>
      </c>
      <c r="J81" s="7" t="str">
        <f>IFERROR(__xludf.DUMMYFUNCTION("GOOGLETRANSLATE($I81, ""de"", ""en"")"),"NO SALARY DATA")</f>
        <v>NO SALARY DATA</v>
      </c>
      <c r="K81" s="7" t="s">
        <v>261</v>
      </c>
      <c r="L81" s="7" t="s">
        <v>518</v>
      </c>
      <c r="M81" s="7" t="s">
        <v>263</v>
      </c>
      <c r="N81" s="7" t="s">
        <v>275</v>
      </c>
      <c r="O81" s="7"/>
      <c r="P81" s="35"/>
      <c r="Q81" s="7"/>
    </row>
    <row r="82">
      <c r="A82" s="7">
        <v>77.0</v>
      </c>
      <c r="B82" s="7" t="s">
        <v>265</v>
      </c>
      <c r="C82" s="7" t="str">
        <f>IFERROR(__xludf.DUMMYFUNCTION("GOOGLETRANSLATE($B82, $A$2, $B$2)"),"More than 30 days ago")</f>
        <v>More than 30 days ago</v>
      </c>
      <c r="D82" s="7" t="s">
        <v>519</v>
      </c>
      <c r="E82" s="7" t="s">
        <v>520</v>
      </c>
      <c r="F82" s="7" t="s">
        <v>521</v>
      </c>
      <c r="G82" s="7" t="s">
        <v>260</v>
      </c>
      <c r="H82" s="7" t="s">
        <v>261</v>
      </c>
      <c r="I82" s="7" t="s">
        <v>261</v>
      </c>
      <c r="J82" s="7" t="str">
        <f>IFERROR(__xludf.DUMMYFUNCTION("GOOGLETRANSLATE($I82, ""de"", ""en"")"),"NO SALARY DATA")</f>
        <v>NO SALARY DATA</v>
      </c>
      <c r="K82" s="7" t="s">
        <v>261</v>
      </c>
      <c r="L82" s="7" t="s">
        <v>282</v>
      </c>
      <c r="M82" s="7" t="s">
        <v>263</v>
      </c>
      <c r="N82" s="7" t="s">
        <v>434</v>
      </c>
      <c r="O82" s="7"/>
      <c r="P82" s="37"/>
      <c r="Q82" s="7"/>
    </row>
    <row r="83">
      <c r="A83" s="7">
        <v>78.0</v>
      </c>
      <c r="B83" s="7" t="s">
        <v>265</v>
      </c>
      <c r="C83" s="7" t="str">
        <f>IFERROR(__xludf.DUMMYFUNCTION("GOOGLETRANSLATE($B83, $A$2, $B$2)"),"More than 30 days ago")</f>
        <v>More than 30 days ago</v>
      </c>
      <c r="D83" s="7" t="s">
        <v>522</v>
      </c>
      <c r="E83" s="7" t="s">
        <v>258</v>
      </c>
      <c r="F83" s="7" t="s">
        <v>523</v>
      </c>
      <c r="G83" s="7" t="s">
        <v>260</v>
      </c>
      <c r="H83" s="7" t="s">
        <v>261</v>
      </c>
      <c r="I83" s="7" t="s">
        <v>261</v>
      </c>
      <c r="J83" s="7" t="str">
        <f>IFERROR(__xludf.DUMMYFUNCTION("GOOGLETRANSLATE($I83, ""de"", ""en"")"),"NO SALARY DATA")</f>
        <v>NO SALARY DATA</v>
      </c>
      <c r="K83" s="7" t="s">
        <v>261</v>
      </c>
      <c r="L83" s="7" t="s">
        <v>524</v>
      </c>
      <c r="M83" s="7" t="s">
        <v>263</v>
      </c>
      <c r="N83" s="7" t="s">
        <v>260</v>
      </c>
      <c r="O83" s="7"/>
      <c r="P83" s="37"/>
      <c r="Q83" s="7"/>
    </row>
    <row r="84">
      <c r="A84" s="7">
        <v>79.0</v>
      </c>
      <c r="B84" s="7" t="s">
        <v>265</v>
      </c>
      <c r="C84" s="7" t="str">
        <f>IFERROR(__xludf.DUMMYFUNCTION("GOOGLETRANSLATE($B84, $A$2, $B$2)"),"More than 30 days ago")</f>
        <v>More than 30 days ago</v>
      </c>
      <c r="D84" s="7" t="s">
        <v>525</v>
      </c>
      <c r="E84" s="7" t="s">
        <v>258</v>
      </c>
      <c r="F84" s="7" t="s">
        <v>526</v>
      </c>
      <c r="G84" s="7" t="s">
        <v>260</v>
      </c>
      <c r="H84" s="7" t="s">
        <v>261</v>
      </c>
      <c r="I84" s="7" t="s">
        <v>261</v>
      </c>
      <c r="J84" s="7" t="str">
        <f>IFERROR(__xludf.DUMMYFUNCTION("GOOGLETRANSLATE($I84, ""de"", ""en"")"),"NO SALARY DATA")</f>
        <v>NO SALARY DATA</v>
      </c>
      <c r="K84" s="7" t="s">
        <v>261</v>
      </c>
      <c r="L84" s="7" t="s">
        <v>527</v>
      </c>
      <c r="M84" s="7" t="s">
        <v>263</v>
      </c>
      <c r="N84" s="7" t="s">
        <v>260</v>
      </c>
      <c r="O84" s="7"/>
      <c r="P84" s="35"/>
      <c r="Q84" s="7"/>
    </row>
    <row r="85">
      <c r="A85" s="7">
        <v>80.0</v>
      </c>
      <c r="B85" s="7" t="s">
        <v>332</v>
      </c>
      <c r="C85" s="7" t="str">
        <f>IFERROR(__xludf.DUMMYFUNCTION("GOOGLETRANSLATE($B85, $A$2, $B$2)"),"4 days ago")</f>
        <v>4 days ago</v>
      </c>
      <c r="D85" s="7" t="s">
        <v>528</v>
      </c>
      <c r="E85" s="7" t="s">
        <v>529</v>
      </c>
      <c r="F85" s="7" t="s">
        <v>530</v>
      </c>
      <c r="G85" s="7" t="s">
        <v>260</v>
      </c>
      <c r="H85" s="7" t="s">
        <v>261</v>
      </c>
      <c r="I85" s="7" t="s">
        <v>261</v>
      </c>
      <c r="J85" s="7" t="str">
        <f>IFERROR(__xludf.DUMMYFUNCTION("GOOGLETRANSLATE($I85, ""de"", ""en"")"),"NO SALARY DATA")</f>
        <v>NO SALARY DATA</v>
      </c>
      <c r="K85" s="7" t="s">
        <v>261</v>
      </c>
      <c r="L85" s="7" t="s">
        <v>531</v>
      </c>
      <c r="M85" s="7" t="s">
        <v>263</v>
      </c>
      <c r="N85" s="7" t="s">
        <v>532</v>
      </c>
      <c r="O85" s="7"/>
      <c r="P85" s="37"/>
      <c r="Q85" s="7"/>
    </row>
    <row r="86">
      <c r="A86" s="7">
        <v>81.0</v>
      </c>
      <c r="B86" s="7" t="s">
        <v>533</v>
      </c>
      <c r="C86" s="7" t="str">
        <f>IFERROR(__xludf.DUMMYFUNCTION("GOOGLETRANSLATE($B86, $A$2, $B$2)"),"11 days ago")</f>
        <v>11 days ago</v>
      </c>
      <c r="D86" s="7" t="s">
        <v>534</v>
      </c>
      <c r="E86" s="7" t="s">
        <v>535</v>
      </c>
      <c r="F86" s="7" t="s">
        <v>536</v>
      </c>
      <c r="G86" s="7" t="s">
        <v>260</v>
      </c>
      <c r="H86" s="7" t="s">
        <v>261</v>
      </c>
      <c r="I86" s="7" t="s">
        <v>261</v>
      </c>
      <c r="J86" s="7" t="str">
        <f>IFERROR(__xludf.DUMMYFUNCTION("GOOGLETRANSLATE($I86, ""de"", ""en"")"),"NO SALARY DATA")</f>
        <v>NO SALARY DATA</v>
      </c>
      <c r="K86" s="7" t="s">
        <v>261</v>
      </c>
      <c r="L86" s="7" t="s">
        <v>537</v>
      </c>
      <c r="M86" s="7" t="s">
        <v>263</v>
      </c>
      <c r="N86" s="7" t="s">
        <v>260</v>
      </c>
      <c r="O86" s="7"/>
      <c r="P86" s="37"/>
      <c r="Q86" s="7"/>
    </row>
    <row r="87">
      <c r="A87" s="7">
        <v>82.0</v>
      </c>
      <c r="B87" s="7" t="s">
        <v>375</v>
      </c>
      <c r="C87" s="7" t="str">
        <f>IFERROR(__xludf.DUMMYFUNCTION("GOOGLETRANSLATE($B87, $A$2, $B$2)"),"6 days ago")</f>
        <v>6 days ago</v>
      </c>
      <c r="D87" s="7" t="s">
        <v>538</v>
      </c>
      <c r="E87" s="7" t="s">
        <v>539</v>
      </c>
      <c r="F87" s="7" t="s">
        <v>540</v>
      </c>
      <c r="G87" s="7" t="s">
        <v>260</v>
      </c>
      <c r="H87" s="7" t="s">
        <v>261</v>
      </c>
      <c r="I87" s="7" t="s">
        <v>261</v>
      </c>
      <c r="J87" s="7" t="str">
        <f>IFERROR(__xludf.DUMMYFUNCTION("GOOGLETRANSLATE($I87, ""de"", ""en"")"),"NO SALARY DATA")</f>
        <v>NO SALARY DATA</v>
      </c>
      <c r="K87" s="7" t="s">
        <v>261</v>
      </c>
      <c r="L87" s="7" t="s">
        <v>318</v>
      </c>
      <c r="M87" s="7" t="s">
        <v>274</v>
      </c>
      <c r="N87" s="7" t="s">
        <v>260</v>
      </c>
      <c r="O87" s="7"/>
      <c r="P87" s="37"/>
      <c r="Q87" s="7"/>
    </row>
    <row r="88">
      <c r="A88" s="7">
        <v>83.0</v>
      </c>
      <c r="B88" s="7" t="s">
        <v>265</v>
      </c>
      <c r="C88" s="7" t="str">
        <f>IFERROR(__xludf.DUMMYFUNCTION("GOOGLETRANSLATE($B88, $A$2, $B$2)"),"More than 30 days ago")</f>
        <v>More than 30 days ago</v>
      </c>
      <c r="D88" s="7" t="s">
        <v>541</v>
      </c>
      <c r="E88" s="7" t="s">
        <v>343</v>
      </c>
      <c r="F88" s="7" t="s">
        <v>542</v>
      </c>
      <c r="G88" s="7" t="s">
        <v>260</v>
      </c>
      <c r="H88" s="7" t="s">
        <v>261</v>
      </c>
      <c r="I88" s="7" t="s">
        <v>261</v>
      </c>
      <c r="J88" s="7" t="str">
        <f>IFERROR(__xludf.DUMMYFUNCTION("GOOGLETRANSLATE($I88, ""de"", ""en"")"),"NO SALARY DATA")</f>
        <v>NO SALARY DATA</v>
      </c>
      <c r="K88" s="7" t="s">
        <v>261</v>
      </c>
      <c r="L88" s="7" t="s">
        <v>543</v>
      </c>
      <c r="M88" s="7" t="s">
        <v>322</v>
      </c>
      <c r="N88" s="7" t="s">
        <v>260</v>
      </c>
      <c r="O88" s="7"/>
      <c r="P88" s="37"/>
      <c r="Q88" s="7"/>
    </row>
    <row r="89">
      <c r="A89" s="7">
        <v>84.0</v>
      </c>
      <c r="B89" s="7" t="s">
        <v>375</v>
      </c>
      <c r="C89" s="7" t="str">
        <f>IFERROR(__xludf.DUMMYFUNCTION("GOOGLETRANSLATE($B89, $A$2, $B$2)"),"6 days ago")</f>
        <v>6 days ago</v>
      </c>
      <c r="D89" s="7" t="s">
        <v>538</v>
      </c>
      <c r="E89" s="7" t="s">
        <v>539</v>
      </c>
      <c r="F89" s="7" t="s">
        <v>540</v>
      </c>
      <c r="G89" s="7" t="s">
        <v>260</v>
      </c>
      <c r="H89" s="7" t="s">
        <v>261</v>
      </c>
      <c r="I89" s="7" t="s">
        <v>261</v>
      </c>
      <c r="J89" s="7" t="str">
        <f>IFERROR(__xludf.DUMMYFUNCTION("GOOGLETRANSLATE($I89, ""de"", ""en"")"),"NO SALARY DATA")</f>
        <v>NO SALARY DATA</v>
      </c>
      <c r="K89" s="7" t="s">
        <v>261</v>
      </c>
      <c r="L89" s="7" t="s">
        <v>318</v>
      </c>
      <c r="M89" s="7" t="s">
        <v>274</v>
      </c>
      <c r="N89" s="7" t="s">
        <v>260</v>
      </c>
      <c r="O89" s="7"/>
      <c r="P89" s="37"/>
      <c r="Q89" s="7"/>
    </row>
    <row r="90">
      <c r="A90" s="7">
        <v>85.0</v>
      </c>
      <c r="B90" s="7" t="s">
        <v>265</v>
      </c>
      <c r="C90" s="7" t="str">
        <f>IFERROR(__xludf.DUMMYFUNCTION("GOOGLETRANSLATE($B90, $A$2, $B$2)"),"More than 30 days ago")</f>
        <v>More than 30 days ago</v>
      </c>
      <c r="D90" s="7" t="s">
        <v>283</v>
      </c>
      <c r="E90" s="7" t="s">
        <v>544</v>
      </c>
      <c r="F90" s="7" t="s">
        <v>545</v>
      </c>
      <c r="G90" s="7" t="s">
        <v>260</v>
      </c>
      <c r="H90" s="7" t="s">
        <v>261</v>
      </c>
      <c r="I90" s="7" t="s">
        <v>261</v>
      </c>
      <c r="J90" s="7" t="str">
        <f>IFERROR(__xludf.DUMMYFUNCTION("GOOGLETRANSLATE($I90, ""de"", ""en"")"),"NO SALARY DATA")</f>
        <v>NO SALARY DATA</v>
      </c>
      <c r="K90" s="7" t="s">
        <v>261</v>
      </c>
      <c r="L90" s="7" t="s">
        <v>546</v>
      </c>
      <c r="M90" s="7" t="s">
        <v>263</v>
      </c>
      <c r="N90" s="7" t="s">
        <v>260</v>
      </c>
      <c r="O90" s="7"/>
      <c r="P90" s="35"/>
      <c r="Q90" s="7"/>
    </row>
    <row r="91">
      <c r="A91" s="7">
        <v>86.0</v>
      </c>
      <c r="B91" s="7" t="s">
        <v>375</v>
      </c>
      <c r="C91" s="7" t="str">
        <f>IFERROR(__xludf.DUMMYFUNCTION("GOOGLETRANSLATE($B91, $A$2, $B$2)"),"6 days ago")</f>
        <v>6 days ago</v>
      </c>
      <c r="D91" s="7" t="s">
        <v>547</v>
      </c>
      <c r="E91" s="7" t="s">
        <v>548</v>
      </c>
      <c r="F91" s="7" t="s">
        <v>549</v>
      </c>
      <c r="G91" s="7" t="s">
        <v>260</v>
      </c>
      <c r="H91" s="7" t="s">
        <v>261</v>
      </c>
      <c r="I91" s="7" t="s">
        <v>261</v>
      </c>
      <c r="J91" s="7" t="str">
        <f>IFERROR(__xludf.DUMMYFUNCTION("GOOGLETRANSLATE($I91, ""de"", ""en"")"),"NO SALARY DATA")</f>
        <v>NO SALARY DATA</v>
      </c>
      <c r="K91" s="7" t="s">
        <v>261</v>
      </c>
      <c r="L91" s="7" t="s">
        <v>345</v>
      </c>
      <c r="M91" s="7" t="s">
        <v>414</v>
      </c>
      <c r="N91" s="7" t="s">
        <v>275</v>
      </c>
      <c r="O91" s="7"/>
      <c r="P91" s="35"/>
      <c r="Q91" s="7"/>
    </row>
    <row r="92">
      <c r="A92" s="7">
        <v>87.0</v>
      </c>
      <c r="B92" s="7" t="s">
        <v>265</v>
      </c>
      <c r="C92" s="7" t="str">
        <f>IFERROR(__xludf.DUMMYFUNCTION("GOOGLETRANSLATE($B92, $A$2, $B$2)"),"More than 30 days ago")</f>
        <v>More than 30 days ago</v>
      </c>
      <c r="D92" s="7" t="s">
        <v>550</v>
      </c>
      <c r="E92" s="7" t="s">
        <v>271</v>
      </c>
      <c r="F92" s="7" t="s">
        <v>484</v>
      </c>
      <c r="G92" s="7" t="s">
        <v>260</v>
      </c>
      <c r="H92" s="7" t="s">
        <v>261</v>
      </c>
      <c r="I92" s="7" t="s">
        <v>261</v>
      </c>
      <c r="J92" s="7" t="str">
        <f>IFERROR(__xludf.DUMMYFUNCTION("GOOGLETRANSLATE($I92, ""de"", ""en"")"),"NO SALARY DATA")</f>
        <v>NO SALARY DATA</v>
      </c>
      <c r="K92" s="7" t="s">
        <v>261</v>
      </c>
      <c r="L92" s="7" t="s">
        <v>551</v>
      </c>
      <c r="M92" s="7" t="s">
        <v>263</v>
      </c>
      <c r="N92" s="7" t="s">
        <v>486</v>
      </c>
      <c r="O92" s="7"/>
      <c r="P92" s="35"/>
      <c r="Q92" s="7"/>
    </row>
    <row r="93">
      <c r="A93" s="7">
        <v>88.0</v>
      </c>
      <c r="B93" s="7" t="s">
        <v>265</v>
      </c>
      <c r="C93" s="7" t="str">
        <f>IFERROR(__xludf.DUMMYFUNCTION("GOOGLETRANSLATE($B93, $A$2, $B$2)"),"More than 30 days ago")</f>
        <v>More than 30 days ago</v>
      </c>
      <c r="D93" s="7" t="s">
        <v>552</v>
      </c>
      <c r="E93" s="7" t="s">
        <v>483</v>
      </c>
      <c r="F93" s="7" t="s">
        <v>484</v>
      </c>
      <c r="G93" s="7" t="s">
        <v>260</v>
      </c>
      <c r="H93" s="7" t="s">
        <v>261</v>
      </c>
      <c r="I93" s="7" t="s">
        <v>261</v>
      </c>
      <c r="J93" s="7" t="str">
        <f>IFERROR(__xludf.DUMMYFUNCTION("GOOGLETRANSLATE($I93, ""de"", ""en"")"),"NO SALARY DATA")</f>
        <v>NO SALARY DATA</v>
      </c>
      <c r="K93" s="7" t="s">
        <v>261</v>
      </c>
      <c r="L93" s="7" t="s">
        <v>553</v>
      </c>
      <c r="M93" s="7" t="s">
        <v>263</v>
      </c>
      <c r="N93" s="7" t="s">
        <v>486</v>
      </c>
      <c r="O93" s="7"/>
      <c r="P93" s="35"/>
      <c r="Q93" s="7"/>
    </row>
    <row r="94">
      <c r="A94" s="7">
        <v>89.0</v>
      </c>
      <c r="B94" s="7" t="s">
        <v>256</v>
      </c>
      <c r="C94" s="7" t="str">
        <f>IFERROR(__xludf.DUMMYFUNCTION("GOOGLETRANSLATE($B94, $A$2, $B$2)"),"7 days ago")</f>
        <v>7 days ago</v>
      </c>
      <c r="D94" s="7" t="s">
        <v>554</v>
      </c>
      <c r="E94" s="7" t="s">
        <v>258</v>
      </c>
      <c r="F94" s="7" t="s">
        <v>334</v>
      </c>
      <c r="G94" s="7" t="s">
        <v>260</v>
      </c>
      <c r="H94" s="7" t="s">
        <v>261</v>
      </c>
      <c r="I94" s="7" t="s">
        <v>261</v>
      </c>
      <c r="J94" s="7" t="str">
        <f>IFERROR(__xludf.DUMMYFUNCTION("GOOGLETRANSLATE($I94, ""de"", ""en"")"),"NO SALARY DATA")</f>
        <v>NO SALARY DATA</v>
      </c>
      <c r="K94" s="7" t="s">
        <v>261</v>
      </c>
      <c r="L94" s="7" t="s">
        <v>555</v>
      </c>
      <c r="M94" s="7" t="s">
        <v>263</v>
      </c>
      <c r="N94" s="7" t="s">
        <v>336</v>
      </c>
      <c r="O94" s="7"/>
      <c r="P94" s="37"/>
      <c r="Q94" s="7"/>
    </row>
    <row r="95">
      <c r="A95" s="7">
        <v>90.0</v>
      </c>
      <c r="B95" s="7" t="s">
        <v>324</v>
      </c>
      <c r="C95" s="7" t="str">
        <f>IFERROR(__xludf.DUMMYFUNCTION("GOOGLETRANSLATE($B95, $A$2, $B$2)"),"3 days ago")</f>
        <v>3 days ago</v>
      </c>
      <c r="D95" s="7" t="s">
        <v>556</v>
      </c>
      <c r="E95" s="7" t="s">
        <v>258</v>
      </c>
      <c r="F95" s="7" t="s">
        <v>557</v>
      </c>
      <c r="G95" s="7" t="s">
        <v>260</v>
      </c>
      <c r="H95" s="7" t="s">
        <v>261</v>
      </c>
      <c r="I95" s="7" t="s">
        <v>261</v>
      </c>
      <c r="J95" s="7" t="str">
        <f>IFERROR(__xludf.DUMMYFUNCTION("GOOGLETRANSLATE($I95, ""de"", ""en"")"),"NO SALARY DATA")</f>
        <v>NO SALARY DATA</v>
      </c>
      <c r="K95" s="7" t="s">
        <v>261</v>
      </c>
      <c r="L95" s="7" t="s">
        <v>558</v>
      </c>
      <c r="M95" s="7" t="s">
        <v>263</v>
      </c>
      <c r="N95" s="7" t="s">
        <v>260</v>
      </c>
      <c r="O95" s="7"/>
      <c r="P95" s="37"/>
      <c r="Q95" s="7"/>
    </row>
    <row r="96">
      <c r="A96" s="7">
        <v>91.0</v>
      </c>
      <c r="B96" s="7" t="s">
        <v>559</v>
      </c>
      <c r="C96" s="7" t="str">
        <f>IFERROR(__xludf.DUMMYFUNCTION("GOOGLETRANSLATE($B96, $A$2, $B$2)"),"18 days ago")</f>
        <v>18 days ago</v>
      </c>
      <c r="D96" s="7" t="s">
        <v>560</v>
      </c>
      <c r="E96" s="7" t="s">
        <v>417</v>
      </c>
      <c r="F96" s="7" t="s">
        <v>561</v>
      </c>
      <c r="G96" s="7" t="s">
        <v>260</v>
      </c>
      <c r="H96" s="7" t="s">
        <v>261</v>
      </c>
      <c r="I96" s="7" t="s">
        <v>261</v>
      </c>
      <c r="J96" s="7" t="str">
        <f>IFERROR(__xludf.DUMMYFUNCTION("GOOGLETRANSLATE($I96, ""de"", ""en"")"),"NO SALARY DATA")</f>
        <v>NO SALARY DATA</v>
      </c>
      <c r="K96" s="7" t="s">
        <v>261</v>
      </c>
      <c r="L96" s="7" t="s">
        <v>562</v>
      </c>
      <c r="M96" s="7" t="s">
        <v>263</v>
      </c>
      <c r="N96" s="7" t="s">
        <v>260</v>
      </c>
      <c r="O96" s="7"/>
      <c r="P96" s="35"/>
      <c r="Q96" s="7"/>
    </row>
    <row r="97">
      <c r="A97" s="7">
        <v>92.0</v>
      </c>
      <c r="B97" s="7" t="s">
        <v>256</v>
      </c>
      <c r="C97" s="7" t="str">
        <f>IFERROR(__xludf.DUMMYFUNCTION("GOOGLETRANSLATE($B97, $A$2, $B$2)"),"7 days ago")</f>
        <v>7 days ago</v>
      </c>
      <c r="D97" s="7" t="s">
        <v>563</v>
      </c>
      <c r="E97" s="7" t="s">
        <v>480</v>
      </c>
      <c r="F97" s="7" t="s">
        <v>564</v>
      </c>
      <c r="G97" s="7" t="s">
        <v>260</v>
      </c>
      <c r="H97" s="7" t="s">
        <v>261</v>
      </c>
      <c r="I97" s="7" t="s">
        <v>261</v>
      </c>
      <c r="J97" s="7" t="str">
        <f>IFERROR(__xludf.DUMMYFUNCTION("GOOGLETRANSLATE($I97, ""de"", ""en"")"),"NO SALARY DATA")</f>
        <v>NO SALARY DATA</v>
      </c>
      <c r="K97" s="7" t="s">
        <v>261</v>
      </c>
      <c r="L97" s="7" t="s">
        <v>551</v>
      </c>
      <c r="M97" s="7" t="s">
        <v>263</v>
      </c>
      <c r="N97" s="7" t="s">
        <v>323</v>
      </c>
      <c r="O97" s="7"/>
      <c r="P97" s="37"/>
      <c r="Q97" s="7"/>
    </row>
    <row r="98">
      <c r="A98" s="7">
        <v>93.0</v>
      </c>
      <c r="B98" s="7" t="s">
        <v>346</v>
      </c>
      <c r="C98" s="7" t="str">
        <f>IFERROR(__xludf.DUMMYFUNCTION("GOOGLETRANSLATE($B98, $A$2, $B$2)"),"12 days ago")</f>
        <v>12 days ago</v>
      </c>
      <c r="D98" s="7" t="s">
        <v>283</v>
      </c>
      <c r="E98" s="7" t="s">
        <v>544</v>
      </c>
      <c r="F98" s="7" t="s">
        <v>565</v>
      </c>
      <c r="G98" s="7" t="s">
        <v>260</v>
      </c>
      <c r="H98" s="7" t="s">
        <v>261</v>
      </c>
      <c r="I98" s="7" t="s">
        <v>261</v>
      </c>
      <c r="J98" s="7" t="str">
        <f>IFERROR(__xludf.DUMMYFUNCTION("GOOGLETRANSLATE($I98, ""de"", ""en"")"),"NO SALARY DATA")</f>
        <v>NO SALARY DATA</v>
      </c>
      <c r="K98" s="7" t="s">
        <v>261</v>
      </c>
      <c r="L98" s="7" t="s">
        <v>566</v>
      </c>
      <c r="M98" s="7" t="s">
        <v>274</v>
      </c>
      <c r="N98" s="7" t="s">
        <v>260</v>
      </c>
      <c r="O98" s="7"/>
      <c r="P98" s="35"/>
      <c r="Q98" s="7"/>
    </row>
    <row r="99">
      <c r="A99" s="7">
        <v>94.0</v>
      </c>
      <c r="B99" s="7" t="s">
        <v>265</v>
      </c>
      <c r="C99" s="7" t="str">
        <f>IFERROR(__xludf.DUMMYFUNCTION("GOOGLETRANSLATE($B99, $A$2, $B$2)"),"More than 30 days ago")</f>
        <v>More than 30 days ago</v>
      </c>
      <c r="D99" s="7" t="s">
        <v>567</v>
      </c>
      <c r="E99" s="7" t="s">
        <v>408</v>
      </c>
      <c r="F99" s="7" t="s">
        <v>568</v>
      </c>
      <c r="G99" s="7" t="s">
        <v>260</v>
      </c>
      <c r="H99" s="7" t="s">
        <v>261</v>
      </c>
      <c r="I99" s="7" t="s">
        <v>261</v>
      </c>
      <c r="J99" s="7" t="str">
        <f>IFERROR(__xludf.DUMMYFUNCTION("GOOGLETRANSLATE($I99, ""de"", ""en"")"),"NO SALARY DATA")</f>
        <v>NO SALARY DATA</v>
      </c>
      <c r="K99" s="7" t="s">
        <v>261</v>
      </c>
      <c r="L99" s="7" t="s">
        <v>569</v>
      </c>
      <c r="M99" s="7" t="s">
        <v>263</v>
      </c>
      <c r="N99" s="7" t="s">
        <v>434</v>
      </c>
      <c r="O99" s="7"/>
      <c r="P99" s="35"/>
      <c r="Q99" s="7"/>
    </row>
    <row r="100">
      <c r="A100" s="7">
        <v>95.0</v>
      </c>
      <c r="B100" s="7" t="s">
        <v>265</v>
      </c>
      <c r="C100" s="7" t="str">
        <f>IFERROR(__xludf.DUMMYFUNCTION("GOOGLETRANSLATE($B100, $A$2, $B$2)"),"More than 30 days ago")</f>
        <v>More than 30 days ago</v>
      </c>
      <c r="D100" s="7" t="s">
        <v>519</v>
      </c>
      <c r="E100" s="7" t="s">
        <v>520</v>
      </c>
      <c r="F100" s="7" t="s">
        <v>521</v>
      </c>
      <c r="G100" s="7" t="s">
        <v>260</v>
      </c>
      <c r="H100" s="7" t="s">
        <v>261</v>
      </c>
      <c r="I100" s="7" t="s">
        <v>261</v>
      </c>
      <c r="J100" s="7" t="str">
        <f>IFERROR(__xludf.DUMMYFUNCTION("GOOGLETRANSLATE($I100, ""de"", ""en"")"),"NO SALARY DATA")</f>
        <v>NO SALARY DATA</v>
      </c>
      <c r="K100" s="7" t="s">
        <v>261</v>
      </c>
      <c r="L100" s="7" t="s">
        <v>282</v>
      </c>
      <c r="M100" s="7" t="s">
        <v>263</v>
      </c>
      <c r="N100" s="7" t="s">
        <v>434</v>
      </c>
      <c r="O100" s="7"/>
      <c r="P100" s="37"/>
      <c r="Q100" s="7"/>
    </row>
    <row r="101">
      <c r="A101" s="7">
        <v>96.0</v>
      </c>
      <c r="B101" s="7" t="s">
        <v>269</v>
      </c>
      <c r="C101" s="7" t="str">
        <f>IFERROR(__xludf.DUMMYFUNCTION("GOOGLETRANSLATE($B101, $A$2, $B$2)"),"5 days ago")</f>
        <v>5 days ago</v>
      </c>
      <c r="D101" s="7" t="s">
        <v>570</v>
      </c>
      <c r="E101" s="7" t="s">
        <v>480</v>
      </c>
      <c r="F101" s="7" t="s">
        <v>571</v>
      </c>
      <c r="G101" s="7" t="s">
        <v>260</v>
      </c>
      <c r="H101" s="7" t="s">
        <v>261</v>
      </c>
      <c r="I101" s="7" t="s">
        <v>261</v>
      </c>
      <c r="J101" s="7" t="str">
        <f>IFERROR(__xludf.DUMMYFUNCTION("GOOGLETRANSLATE($I101, ""de"", ""en"")"),"NO SALARY DATA")</f>
        <v>NO SALARY DATA</v>
      </c>
      <c r="K101" s="7" t="s">
        <v>261</v>
      </c>
      <c r="L101" s="7" t="s">
        <v>572</v>
      </c>
      <c r="M101" s="7" t="s">
        <v>263</v>
      </c>
      <c r="N101" s="7" t="s">
        <v>260</v>
      </c>
      <c r="O101" s="7"/>
      <c r="P101" s="37"/>
      <c r="Q101" s="7"/>
    </row>
    <row r="102">
      <c r="A102" s="7">
        <v>97.0</v>
      </c>
      <c r="B102" s="7" t="s">
        <v>265</v>
      </c>
      <c r="C102" s="7" t="str">
        <f>IFERROR(__xludf.DUMMYFUNCTION("GOOGLETRANSLATE($B102, $A$2, $B$2)"),"More than 30 days ago")</f>
        <v>More than 30 days ago</v>
      </c>
      <c r="D102" s="7" t="s">
        <v>573</v>
      </c>
      <c r="E102" s="7" t="s">
        <v>539</v>
      </c>
      <c r="F102" s="7" t="s">
        <v>574</v>
      </c>
      <c r="G102" s="7" t="s">
        <v>260</v>
      </c>
      <c r="H102" s="7" t="s">
        <v>261</v>
      </c>
      <c r="I102" s="7" t="s">
        <v>261</v>
      </c>
      <c r="J102" s="7" t="str">
        <f>IFERROR(__xludf.DUMMYFUNCTION("GOOGLETRANSLATE($I102, ""de"", ""en"")"),"NO SALARY DATA")</f>
        <v>NO SALARY DATA</v>
      </c>
      <c r="K102" s="7" t="s">
        <v>261</v>
      </c>
      <c r="L102" s="7" t="s">
        <v>312</v>
      </c>
      <c r="M102" s="7" t="s">
        <v>263</v>
      </c>
      <c r="N102" s="7" t="s">
        <v>260</v>
      </c>
      <c r="O102" s="7"/>
      <c r="P102" s="37"/>
      <c r="Q102" s="7"/>
    </row>
    <row r="103">
      <c r="A103" s="7">
        <v>98.0</v>
      </c>
      <c r="B103" s="7" t="s">
        <v>265</v>
      </c>
      <c r="C103" s="7" t="str">
        <f>IFERROR(__xludf.DUMMYFUNCTION("GOOGLETRANSLATE($B103, $A$2, $B$2)"),"More than 30 days ago")</f>
        <v>More than 30 days ago</v>
      </c>
      <c r="D103" s="7" t="s">
        <v>575</v>
      </c>
      <c r="E103" s="7" t="s">
        <v>348</v>
      </c>
      <c r="F103" s="7" t="s">
        <v>576</v>
      </c>
      <c r="G103" s="7" t="s">
        <v>260</v>
      </c>
      <c r="H103" s="7" t="s">
        <v>261</v>
      </c>
      <c r="I103" s="7" t="s">
        <v>261</v>
      </c>
      <c r="J103" s="7" t="str">
        <f>IFERROR(__xludf.DUMMYFUNCTION("GOOGLETRANSLATE($I103, ""de"", ""en"")"),"NO SALARY DATA")</f>
        <v>NO SALARY DATA</v>
      </c>
      <c r="K103" s="7" t="s">
        <v>261</v>
      </c>
      <c r="L103" s="7" t="s">
        <v>577</v>
      </c>
      <c r="M103" s="7" t="s">
        <v>263</v>
      </c>
      <c r="N103" s="7" t="s">
        <v>260</v>
      </c>
      <c r="O103" s="7"/>
      <c r="P103" s="37"/>
      <c r="Q103" s="7"/>
    </row>
    <row r="104">
      <c r="A104" s="7">
        <v>99.0</v>
      </c>
      <c r="B104" s="7" t="s">
        <v>265</v>
      </c>
      <c r="C104" s="7" t="str">
        <f>IFERROR(__xludf.DUMMYFUNCTION("GOOGLETRANSLATE($B104, $A$2, $B$2)"),"More than 30 days ago")</f>
        <v>More than 30 days ago</v>
      </c>
      <c r="D104" s="7" t="s">
        <v>306</v>
      </c>
      <c r="E104" s="7" t="s">
        <v>352</v>
      </c>
      <c r="F104" s="7" t="s">
        <v>578</v>
      </c>
      <c r="G104" s="7" t="s">
        <v>260</v>
      </c>
      <c r="H104" s="7" t="s">
        <v>261</v>
      </c>
      <c r="I104" s="7" t="s">
        <v>261</v>
      </c>
      <c r="J104" s="7" t="str">
        <f>IFERROR(__xludf.DUMMYFUNCTION("GOOGLETRANSLATE($I104, ""de"", ""en"")"),"NO SALARY DATA")</f>
        <v>NO SALARY DATA</v>
      </c>
      <c r="K104" s="7" t="s">
        <v>261</v>
      </c>
      <c r="L104" s="7" t="s">
        <v>321</v>
      </c>
      <c r="M104" s="7" t="s">
        <v>263</v>
      </c>
      <c r="N104" s="7" t="s">
        <v>260</v>
      </c>
      <c r="O104" s="7"/>
      <c r="P104" s="35"/>
      <c r="Q104" s="7"/>
    </row>
    <row r="105">
      <c r="A105" s="7">
        <v>100.0</v>
      </c>
      <c r="B105" s="7" t="s">
        <v>256</v>
      </c>
      <c r="C105" s="7" t="str">
        <f>IFERROR(__xludf.DUMMYFUNCTION("GOOGLETRANSLATE($B105, $A$2, $B$2)"),"7 days ago")</f>
        <v>7 days ago</v>
      </c>
      <c r="D105" s="7" t="s">
        <v>579</v>
      </c>
      <c r="E105" s="7" t="s">
        <v>580</v>
      </c>
      <c r="F105" s="7" t="s">
        <v>581</v>
      </c>
      <c r="G105" s="7" t="s">
        <v>260</v>
      </c>
      <c r="H105" s="7" t="s">
        <v>261</v>
      </c>
      <c r="I105" s="7" t="s">
        <v>261</v>
      </c>
      <c r="J105" s="7" t="str">
        <f>IFERROR(__xludf.DUMMYFUNCTION("GOOGLETRANSLATE($I105, ""de"", ""en"")"),"NO SALARY DATA")</f>
        <v>NO SALARY DATA</v>
      </c>
      <c r="K105" s="7" t="s">
        <v>261</v>
      </c>
      <c r="L105" s="7" t="s">
        <v>312</v>
      </c>
      <c r="M105" s="7" t="s">
        <v>263</v>
      </c>
      <c r="N105" s="7" t="s">
        <v>301</v>
      </c>
      <c r="O105" s="7"/>
      <c r="P105" s="35"/>
      <c r="Q105" s="7"/>
    </row>
    <row r="106">
      <c r="A106" s="7">
        <v>101.0</v>
      </c>
      <c r="B106" s="7" t="s">
        <v>324</v>
      </c>
      <c r="C106" s="7" t="str">
        <f>IFERROR(__xludf.DUMMYFUNCTION("GOOGLETRANSLATE($B106, $A$2, $B$2)"),"3 days ago")</f>
        <v>3 days ago</v>
      </c>
      <c r="D106" s="7" t="s">
        <v>582</v>
      </c>
      <c r="E106" s="7" t="s">
        <v>583</v>
      </c>
      <c r="F106" s="7" t="s">
        <v>584</v>
      </c>
      <c r="G106" s="7" t="s">
        <v>260</v>
      </c>
      <c r="H106" s="7" t="s">
        <v>261</v>
      </c>
      <c r="I106" s="7" t="s">
        <v>261</v>
      </c>
      <c r="J106" s="7" t="str">
        <f>IFERROR(__xludf.DUMMYFUNCTION("GOOGLETRANSLATE($I106, ""de"", ""en"")"),"NO SALARY DATA")</f>
        <v>NO SALARY DATA</v>
      </c>
      <c r="K106" s="7" t="s">
        <v>261</v>
      </c>
      <c r="L106" s="7" t="s">
        <v>585</v>
      </c>
      <c r="M106" s="7" t="s">
        <v>287</v>
      </c>
      <c r="N106" s="7" t="s">
        <v>336</v>
      </c>
      <c r="O106" s="7"/>
      <c r="P106" s="35"/>
      <c r="Q106" s="7"/>
    </row>
    <row r="107">
      <c r="A107" s="7">
        <v>102.0</v>
      </c>
      <c r="B107" s="7" t="s">
        <v>346</v>
      </c>
      <c r="C107" s="7" t="str">
        <f>IFERROR(__xludf.DUMMYFUNCTION("GOOGLETRANSLATE($B107, $A$2, $B$2)"),"12 days ago")</f>
        <v>12 days ago</v>
      </c>
      <c r="D107" s="7" t="s">
        <v>586</v>
      </c>
      <c r="E107" s="7" t="s">
        <v>587</v>
      </c>
      <c r="F107" s="7" t="s">
        <v>224</v>
      </c>
      <c r="G107" s="7" t="s">
        <v>260</v>
      </c>
      <c r="H107" s="7" t="s">
        <v>261</v>
      </c>
      <c r="I107" s="7" t="s">
        <v>261</v>
      </c>
      <c r="J107" s="7" t="str">
        <f>IFERROR(__xludf.DUMMYFUNCTION("GOOGLETRANSLATE($I107, ""de"", ""en"")"),"NO SALARY DATA")</f>
        <v>NO SALARY DATA</v>
      </c>
      <c r="K107" s="7" t="s">
        <v>261</v>
      </c>
      <c r="L107" s="7" t="s">
        <v>291</v>
      </c>
      <c r="M107" s="7" t="s">
        <v>322</v>
      </c>
      <c r="N107" s="7" t="s">
        <v>331</v>
      </c>
      <c r="O107" s="7"/>
      <c r="P107" s="37"/>
      <c r="Q107" s="7"/>
    </row>
    <row r="108">
      <c r="A108" s="7">
        <v>103.0</v>
      </c>
      <c r="B108" s="7" t="s">
        <v>375</v>
      </c>
      <c r="C108" s="7" t="str">
        <f>IFERROR(__xludf.DUMMYFUNCTION("GOOGLETRANSLATE($B108, $A$2, $B$2)"),"6 days ago")</f>
        <v>6 days ago</v>
      </c>
      <c r="D108" s="7" t="s">
        <v>588</v>
      </c>
      <c r="E108" s="7" t="s">
        <v>258</v>
      </c>
      <c r="F108" s="7" t="s">
        <v>589</v>
      </c>
      <c r="G108" s="7" t="s">
        <v>260</v>
      </c>
      <c r="H108" s="7" t="s">
        <v>261</v>
      </c>
      <c r="I108" s="7" t="s">
        <v>261</v>
      </c>
      <c r="J108" s="7" t="str">
        <f>IFERROR(__xludf.DUMMYFUNCTION("GOOGLETRANSLATE($I108, ""de"", ""en"")"),"NO SALARY DATA")</f>
        <v>NO SALARY DATA</v>
      </c>
      <c r="K108" s="7" t="s">
        <v>261</v>
      </c>
      <c r="L108" s="7" t="s">
        <v>590</v>
      </c>
      <c r="M108" s="7" t="s">
        <v>263</v>
      </c>
      <c r="N108" s="7" t="s">
        <v>260</v>
      </c>
      <c r="O108" s="7"/>
      <c r="P108" s="37"/>
      <c r="Q108" s="7"/>
    </row>
    <row r="109">
      <c r="A109" s="7">
        <v>104.0</v>
      </c>
      <c r="B109" s="7" t="s">
        <v>375</v>
      </c>
      <c r="C109" s="7" t="str">
        <f>IFERROR(__xludf.DUMMYFUNCTION("GOOGLETRANSLATE($B109, $A$2, $B$2)"),"6 days ago")</f>
        <v>6 days ago</v>
      </c>
      <c r="D109" s="7" t="s">
        <v>591</v>
      </c>
      <c r="E109" s="7" t="s">
        <v>271</v>
      </c>
      <c r="F109" s="7" t="s">
        <v>592</v>
      </c>
      <c r="G109" s="7" t="s">
        <v>260</v>
      </c>
      <c r="H109" s="7" t="s">
        <v>261</v>
      </c>
      <c r="I109" s="7" t="s">
        <v>261</v>
      </c>
      <c r="J109" s="7" t="str">
        <f>IFERROR(__xludf.DUMMYFUNCTION("GOOGLETRANSLATE($I109, ""de"", ""en"")"),"NO SALARY DATA")</f>
        <v>NO SALARY DATA</v>
      </c>
      <c r="K109" s="7" t="s">
        <v>261</v>
      </c>
      <c r="L109" s="7" t="s">
        <v>593</v>
      </c>
      <c r="M109" s="7" t="s">
        <v>263</v>
      </c>
      <c r="N109" s="7" t="s">
        <v>260</v>
      </c>
      <c r="O109" s="7"/>
      <c r="P109" s="37"/>
      <c r="Q109" s="7"/>
    </row>
    <row r="110">
      <c r="A110" s="7">
        <v>105.0</v>
      </c>
      <c r="B110" s="7" t="s">
        <v>375</v>
      </c>
      <c r="C110" s="7" t="str">
        <f>IFERROR(__xludf.DUMMYFUNCTION("GOOGLETRANSLATE($B110, $A$2, $B$2)"),"6 days ago")</f>
        <v>6 days ago</v>
      </c>
      <c r="D110" s="7" t="s">
        <v>594</v>
      </c>
      <c r="E110" s="7" t="s">
        <v>368</v>
      </c>
      <c r="F110" s="7" t="s">
        <v>595</v>
      </c>
      <c r="G110" s="7" t="s">
        <v>260</v>
      </c>
      <c r="H110" s="7" t="s">
        <v>261</v>
      </c>
      <c r="I110" s="7" t="s">
        <v>261</v>
      </c>
      <c r="J110" s="7" t="str">
        <f>IFERROR(__xludf.DUMMYFUNCTION("GOOGLETRANSLATE($I110, ""de"", ""en"")"),"NO SALARY DATA")</f>
        <v>NO SALARY DATA</v>
      </c>
      <c r="K110" s="7" t="s">
        <v>261</v>
      </c>
      <c r="L110" s="7" t="s">
        <v>312</v>
      </c>
      <c r="M110" s="7" t="s">
        <v>263</v>
      </c>
      <c r="N110" s="7" t="s">
        <v>260</v>
      </c>
      <c r="O110" s="7"/>
      <c r="P110" s="37"/>
      <c r="Q110" s="7"/>
    </row>
    <row r="111">
      <c r="A111" s="7">
        <v>106.0</v>
      </c>
      <c r="B111" s="7" t="s">
        <v>265</v>
      </c>
      <c r="C111" s="7" t="str">
        <f>IFERROR(__xludf.DUMMYFUNCTION("GOOGLETRANSLATE($B111, $A$2, $B$2)"),"More than 30 days ago")</f>
        <v>More than 30 days ago</v>
      </c>
      <c r="D111" s="7" t="s">
        <v>596</v>
      </c>
      <c r="E111" s="7" t="s">
        <v>597</v>
      </c>
      <c r="F111" s="7" t="s">
        <v>598</v>
      </c>
      <c r="G111" s="7" t="s">
        <v>260</v>
      </c>
      <c r="H111" s="7" t="s">
        <v>261</v>
      </c>
      <c r="I111" s="7" t="s">
        <v>261</v>
      </c>
      <c r="J111" s="7" t="str">
        <f>IFERROR(__xludf.DUMMYFUNCTION("GOOGLETRANSLATE($I111, ""de"", ""en"")"),"NO SALARY DATA")</f>
        <v>NO SALARY DATA</v>
      </c>
      <c r="K111" s="7" t="s">
        <v>261</v>
      </c>
      <c r="L111" s="7" t="s">
        <v>599</v>
      </c>
      <c r="M111" s="7" t="s">
        <v>263</v>
      </c>
      <c r="N111" s="7" t="s">
        <v>260</v>
      </c>
      <c r="O111" s="7"/>
      <c r="P111" s="37"/>
      <c r="Q111" s="7"/>
    </row>
    <row r="112">
      <c r="A112" s="7">
        <v>107.0</v>
      </c>
      <c r="B112" s="7" t="s">
        <v>265</v>
      </c>
      <c r="C112" s="7" t="str">
        <f>IFERROR(__xludf.DUMMYFUNCTION("GOOGLETRANSLATE($B112, $A$2, $B$2)"),"More than 30 days ago")</f>
        <v>More than 30 days ago</v>
      </c>
      <c r="D112" s="7" t="s">
        <v>600</v>
      </c>
      <c r="E112" s="7" t="s">
        <v>601</v>
      </c>
      <c r="F112" s="7" t="s">
        <v>602</v>
      </c>
      <c r="G112" s="7" t="s">
        <v>260</v>
      </c>
      <c r="H112" s="7" t="s">
        <v>261</v>
      </c>
      <c r="I112" s="7" t="s">
        <v>261</v>
      </c>
      <c r="J112" s="7" t="str">
        <f>IFERROR(__xludf.DUMMYFUNCTION("GOOGLETRANSLATE($I112, ""de"", ""en"")"),"NO SALARY DATA")</f>
        <v>NO SALARY DATA</v>
      </c>
      <c r="K112" s="7" t="s">
        <v>261</v>
      </c>
      <c r="L112" s="7" t="s">
        <v>551</v>
      </c>
      <c r="M112" s="7" t="s">
        <v>263</v>
      </c>
      <c r="N112" s="7" t="s">
        <v>260</v>
      </c>
      <c r="O112" s="7"/>
      <c r="P112" s="37"/>
      <c r="Q112" s="7"/>
    </row>
    <row r="113">
      <c r="A113" s="7">
        <v>108.0</v>
      </c>
      <c r="B113" s="7" t="s">
        <v>375</v>
      </c>
      <c r="C113" s="7" t="str">
        <f>IFERROR(__xludf.DUMMYFUNCTION("GOOGLETRANSLATE($B113, $A$2, $B$2)"),"6 days ago")</f>
        <v>6 days ago</v>
      </c>
      <c r="D113" s="7" t="s">
        <v>588</v>
      </c>
      <c r="E113" s="7" t="s">
        <v>258</v>
      </c>
      <c r="F113" s="7" t="s">
        <v>589</v>
      </c>
      <c r="G113" s="7" t="s">
        <v>260</v>
      </c>
      <c r="H113" s="7" t="s">
        <v>261</v>
      </c>
      <c r="I113" s="7" t="s">
        <v>261</v>
      </c>
      <c r="J113" s="7" t="str">
        <f>IFERROR(__xludf.DUMMYFUNCTION("GOOGLETRANSLATE($I113, ""de"", ""en"")"),"NO SALARY DATA")</f>
        <v>NO SALARY DATA</v>
      </c>
      <c r="K113" s="7" t="s">
        <v>261</v>
      </c>
      <c r="L113" s="7" t="s">
        <v>590</v>
      </c>
      <c r="M113" s="7" t="s">
        <v>263</v>
      </c>
      <c r="N113" s="7" t="s">
        <v>260</v>
      </c>
      <c r="O113" s="7"/>
      <c r="P113" s="37"/>
      <c r="Q113" s="7"/>
    </row>
    <row r="114">
      <c r="A114" s="7">
        <v>109.0</v>
      </c>
      <c r="B114" s="7" t="s">
        <v>346</v>
      </c>
      <c r="C114" s="7" t="str">
        <f>IFERROR(__xludf.DUMMYFUNCTION("GOOGLETRANSLATE($B114, $A$2, $B$2)"),"12 days ago")</f>
        <v>12 days ago</v>
      </c>
      <c r="D114" s="7" t="s">
        <v>283</v>
      </c>
      <c r="E114" s="7" t="s">
        <v>544</v>
      </c>
      <c r="F114" s="7" t="s">
        <v>565</v>
      </c>
      <c r="G114" s="7" t="s">
        <v>260</v>
      </c>
      <c r="H114" s="7" t="s">
        <v>261</v>
      </c>
      <c r="I114" s="7" t="s">
        <v>261</v>
      </c>
      <c r="J114" s="7" t="str">
        <f>IFERROR(__xludf.DUMMYFUNCTION("GOOGLETRANSLATE($I114, ""de"", ""en"")"),"NO SALARY DATA")</f>
        <v>NO SALARY DATA</v>
      </c>
      <c r="K114" s="7" t="s">
        <v>261</v>
      </c>
      <c r="L114" s="7" t="s">
        <v>566</v>
      </c>
      <c r="M114" s="7" t="s">
        <v>274</v>
      </c>
      <c r="N114" s="7" t="s">
        <v>260</v>
      </c>
      <c r="O114" s="7"/>
      <c r="P114" s="35"/>
      <c r="Q114" s="7"/>
    </row>
    <row r="115">
      <c r="A115" s="7">
        <v>110.0</v>
      </c>
      <c r="B115" s="7" t="s">
        <v>265</v>
      </c>
      <c r="C115" s="7" t="str">
        <f>IFERROR(__xludf.DUMMYFUNCTION("GOOGLETRANSLATE($B115, $A$2, $B$2)"),"More than 30 days ago")</f>
        <v>More than 30 days ago</v>
      </c>
      <c r="D115" s="7" t="s">
        <v>603</v>
      </c>
      <c r="E115" s="7" t="s">
        <v>604</v>
      </c>
      <c r="F115" s="7" t="s">
        <v>605</v>
      </c>
      <c r="G115" s="7" t="s">
        <v>260</v>
      </c>
      <c r="H115" s="7" t="s">
        <v>261</v>
      </c>
      <c r="I115" s="7" t="s">
        <v>261</v>
      </c>
      <c r="J115" s="7" t="str">
        <f>IFERROR(__xludf.DUMMYFUNCTION("GOOGLETRANSLATE($I115, ""de"", ""en"")"),"NO SALARY DATA")</f>
        <v>NO SALARY DATA</v>
      </c>
      <c r="K115" s="7" t="s">
        <v>261</v>
      </c>
      <c r="L115" s="7" t="s">
        <v>410</v>
      </c>
      <c r="M115" s="7" t="s">
        <v>263</v>
      </c>
      <c r="N115" s="7" t="s">
        <v>434</v>
      </c>
      <c r="O115" s="7"/>
      <c r="P115" s="35"/>
      <c r="Q115" s="7"/>
    </row>
    <row r="116">
      <c r="A116" s="7">
        <v>111.0</v>
      </c>
      <c r="B116" s="7" t="s">
        <v>269</v>
      </c>
      <c r="C116" s="7" t="str">
        <f>IFERROR(__xludf.DUMMYFUNCTION("GOOGLETRANSLATE($B116, $A$2, $B$2)"),"5 days ago")</f>
        <v>5 days ago</v>
      </c>
      <c r="D116" s="7" t="s">
        <v>606</v>
      </c>
      <c r="E116" s="7" t="s">
        <v>258</v>
      </c>
      <c r="F116" s="7" t="s">
        <v>607</v>
      </c>
      <c r="G116" s="7" t="s">
        <v>260</v>
      </c>
      <c r="H116" s="7" t="s">
        <v>261</v>
      </c>
      <c r="I116" s="7" t="s">
        <v>261</v>
      </c>
      <c r="J116" s="7" t="str">
        <f>IFERROR(__xludf.DUMMYFUNCTION("GOOGLETRANSLATE($I116, ""de"", ""en"")"),"NO SALARY DATA")</f>
        <v>NO SALARY DATA</v>
      </c>
      <c r="K116" s="7" t="s">
        <v>261</v>
      </c>
      <c r="L116" s="7" t="s">
        <v>608</v>
      </c>
      <c r="M116" s="7" t="s">
        <v>263</v>
      </c>
      <c r="N116" s="7" t="s">
        <v>399</v>
      </c>
      <c r="O116" s="7"/>
      <c r="P116" s="35"/>
      <c r="Q116" s="7"/>
    </row>
    <row r="117">
      <c r="A117" s="7">
        <v>112.0</v>
      </c>
      <c r="B117" s="7" t="s">
        <v>265</v>
      </c>
      <c r="C117" s="7" t="str">
        <f>IFERROR(__xludf.DUMMYFUNCTION("GOOGLETRANSLATE($B117, $A$2, $B$2)"),"More than 30 days ago")</f>
        <v>More than 30 days ago</v>
      </c>
      <c r="D117" s="7" t="s">
        <v>609</v>
      </c>
      <c r="E117" s="7" t="s">
        <v>271</v>
      </c>
      <c r="F117" s="7" t="s">
        <v>610</v>
      </c>
      <c r="G117" s="7" t="s">
        <v>260</v>
      </c>
      <c r="H117" s="7" t="s">
        <v>261</v>
      </c>
      <c r="I117" s="7" t="s">
        <v>261</v>
      </c>
      <c r="J117" s="7" t="str">
        <f>IFERROR(__xludf.DUMMYFUNCTION("GOOGLETRANSLATE($I117, ""de"", ""en"")"),"NO SALARY DATA")</f>
        <v>NO SALARY DATA</v>
      </c>
      <c r="K117" s="7" t="s">
        <v>261</v>
      </c>
      <c r="L117" s="7" t="s">
        <v>445</v>
      </c>
      <c r="M117" s="7" t="s">
        <v>274</v>
      </c>
      <c r="N117" s="7" t="s">
        <v>611</v>
      </c>
      <c r="O117" s="7"/>
      <c r="P117" s="37"/>
      <c r="Q117" s="7"/>
    </row>
    <row r="118">
      <c r="A118" s="7">
        <v>113.0</v>
      </c>
      <c r="B118" s="7" t="s">
        <v>508</v>
      </c>
      <c r="C118" s="7" t="str">
        <f>IFERROR(__xludf.DUMMYFUNCTION("GOOGLETRANSLATE($B118, $A$2, $B$2)"),"24 days ago")</f>
        <v>24 days ago</v>
      </c>
      <c r="D118" s="7" t="s">
        <v>612</v>
      </c>
      <c r="E118" s="7" t="s">
        <v>280</v>
      </c>
      <c r="F118" s="7" t="s">
        <v>613</v>
      </c>
      <c r="G118" s="7" t="s">
        <v>260</v>
      </c>
      <c r="H118" s="7" t="s">
        <v>261</v>
      </c>
      <c r="I118" s="7" t="s">
        <v>261</v>
      </c>
      <c r="J118" s="7" t="str">
        <f>IFERROR(__xludf.DUMMYFUNCTION("GOOGLETRANSLATE($I118, ""de"", ""en"")"),"NO SALARY DATA")</f>
        <v>NO SALARY DATA</v>
      </c>
      <c r="K118" s="7" t="s">
        <v>261</v>
      </c>
      <c r="L118" s="7" t="s">
        <v>585</v>
      </c>
      <c r="M118" s="7" t="s">
        <v>263</v>
      </c>
      <c r="N118" s="7" t="s">
        <v>260</v>
      </c>
      <c r="O118" s="7"/>
      <c r="P118" s="35"/>
      <c r="Q118" s="7"/>
    </row>
    <row r="119">
      <c r="A119" s="7">
        <v>114.0</v>
      </c>
      <c r="B119" s="7" t="s">
        <v>292</v>
      </c>
      <c r="C119" s="7" t="str">
        <f>IFERROR(__xludf.DUMMYFUNCTION("GOOGLETRANSLATE($B119, $A$2, $B$2)"),"1 day ago")</f>
        <v>1 day ago</v>
      </c>
      <c r="D119" s="7" t="s">
        <v>614</v>
      </c>
      <c r="E119" s="7" t="s">
        <v>405</v>
      </c>
      <c r="F119" s="7" t="s">
        <v>406</v>
      </c>
      <c r="G119" s="7" t="s">
        <v>260</v>
      </c>
      <c r="H119" s="7" t="s">
        <v>261</v>
      </c>
      <c r="I119" s="7" t="s">
        <v>261</v>
      </c>
      <c r="J119" s="7" t="str">
        <f>IFERROR(__xludf.DUMMYFUNCTION("GOOGLETRANSLATE($I119, ""de"", ""en"")"),"NO SALARY DATA")</f>
        <v>NO SALARY DATA</v>
      </c>
      <c r="K119" s="7" t="s">
        <v>261</v>
      </c>
      <c r="L119" s="7" t="s">
        <v>321</v>
      </c>
      <c r="M119" s="7" t="s">
        <v>322</v>
      </c>
      <c r="N119" s="7" t="s">
        <v>275</v>
      </c>
      <c r="O119" s="7"/>
      <c r="P119" s="37"/>
      <c r="Q119" s="7"/>
    </row>
    <row r="120">
      <c r="A120" s="7">
        <v>115.0</v>
      </c>
      <c r="B120" s="7" t="s">
        <v>265</v>
      </c>
      <c r="C120" s="7" t="str">
        <f>IFERROR(__xludf.DUMMYFUNCTION("GOOGLETRANSLATE($B120, $A$2, $B$2)"),"More than 30 days ago")</f>
        <v>More than 30 days ago</v>
      </c>
      <c r="D120" s="7" t="s">
        <v>573</v>
      </c>
      <c r="E120" s="7" t="s">
        <v>539</v>
      </c>
      <c r="F120" s="7" t="s">
        <v>574</v>
      </c>
      <c r="G120" s="7" t="s">
        <v>260</v>
      </c>
      <c r="H120" s="7" t="s">
        <v>261</v>
      </c>
      <c r="I120" s="7" t="s">
        <v>261</v>
      </c>
      <c r="J120" s="7" t="str">
        <f>IFERROR(__xludf.DUMMYFUNCTION("GOOGLETRANSLATE($I120, ""de"", ""en"")"),"NO SALARY DATA")</f>
        <v>NO SALARY DATA</v>
      </c>
      <c r="K120" s="7" t="s">
        <v>261</v>
      </c>
      <c r="L120" s="7" t="s">
        <v>312</v>
      </c>
      <c r="M120" s="7" t="s">
        <v>263</v>
      </c>
      <c r="N120" s="7" t="s">
        <v>260</v>
      </c>
      <c r="O120" s="7"/>
      <c r="P120" s="37"/>
      <c r="Q120" s="7"/>
    </row>
    <row r="121">
      <c r="A121" s="7">
        <v>116.0</v>
      </c>
      <c r="B121" s="7" t="s">
        <v>395</v>
      </c>
      <c r="C121" s="7" t="str">
        <f>IFERROR(__xludf.DUMMYFUNCTION("GOOGLETRANSLATE($B121, $A$2, $B$2)"),"21 days ago")</f>
        <v>21 days ago</v>
      </c>
      <c r="D121" s="7" t="s">
        <v>615</v>
      </c>
      <c r="E121" s="7" t="s">
        <v>408</v>
      </c>
      <c r="F121" s="7" t="s">
        <v>616</v>
      </c>
      <c r="G121" s="7" t="s">
        <v>260</v>
      </c>
      <c r="H121" s="7" t="s">
        <v>261</v>
      </c>
      <c r="I121" s="7" t="s">
        <v>261</v>
      </c>
      <c r="J121" s="7" t="str">
        <f>IFERROR(__xludf.DUMMYFUNCTION("GOOGLETRANSLATE($I121, ""de"", ""en"")"),"NO SALARY DATA")</f>
        <v>NO SALARY DATA</v>
      </c>
      <c r="K121" s="7" t="s">
        <v>261</v>
      </c>
      <c r="L121" s="7" t="s">
        <v>455</v>
      </c>
      <c r="M121" s="7" t="s">
        <v>263</v>
      </c>
      <c r="N121" s="7" t="s">
        <v>260</v>
      </c>
      <c r="O121" s="7"/>
      <c r="P121" s="35"/>
      <c r="Q121" s="7"/>
    </row>
    <row r="122">
      <c r="A122" s="7">
        <v>117.0</v>
      </c>
      <c r="B122" s="7" t="s">
        <v>442</v>
      </c>
      <c r="C122" s="7" t="str">
        <f>IFERROR(__xludf.DUMMYFUNCTION("GOOGLETRANSLATE($B122, $A$2, $B$2)"),"26 days ago")</f>
        <v>26 days ago</v>
      </c>
      <c r="D122" s="7" t="s">
        <v>617</v>
      </c>
      <c r="E122" s="7" t="s">
        <v>618</v>
      </c>
      <c r="F122" s="7" t="s">
        <v>619</v>
      </c>
      <c r="G122" s="7" t="s">
        <v>260</v>
      </c>
      <c r="H122" s="7" t="s">
        <v>261</v>
      </c>
      <c r="I122" s="7" t="s">
        <v>261</v>
      </c>
      <c r="J122" s="7" t="str">
        <f>IFERROR(__xludf.DUMMYFUNCTION("GOOGLETRANSLATE($I122, ""de"", ""en"")"),"NO SALARY DATA")</f>
        <v>NO SALARY DATA</v>
      </c>
      <c r="K122" s="7" t="s">
        <v>261</v>
      </c>
      <c r="L122" s="7" t="s">
        <v>620</v>
      </c>
      <c r="M122" s="7" t="s">
        <v>263</v>
      </c>
      <c r="N122" s="7" t="s">
        <v>275</v>
      </c>
      <c r="O122" s="7"/>
      <c r="P122" s="37"/>
      <c r="Q122" s="7"/>
    </row>
    <row r="123">
      <c r="A123" s="7">
        <v>118.0</v>
      </c>
      <c r="B123" s="7" t="s">
        <v>621</v>
      </c>
      <c r="C123" s="7" t="str">
        <f>IFERROR(__xludf.DUMMYFUNCTION("GOOGLETRANSLATE($B123, $A$2, $B$2)"),"20 days ago")</f>
        <v>20 days ago</v>
      </c>
      <c r="D123" s="7" t="s">
        <v>306</v>
      </c>
      <c r="E123" s="7" t="s">
        <v>622</v>
      </c>
      <c r="F123" s="7" t="s">
        <v>623</v>
      </c>
      <c r="G123" s="7" t="s">
        <v>260</v>
      </c>
      <c r="H123" s="7" t="s">
        <v>261</v>
      </c>
      <c r="I123" s="7" t="s">
        <v>261</v>
      </c>
      <c r="J123" s="7" t="str">
        <f>IFERROR(__xludf.DUMMYFUNCTION("GOOGLETRANSLATE($I123, ""de"", ""en"")"),"NO SALARY DATA")</f>
        <v>NO SALARY DATA</v>
      </c>
      <c r="K123" s="7" t="s">
        <v>261</v>
      </c>
      <c r="L123" s="7" t="s">
        <v>305</v>
      </c>
      <c r="M123" s="7" t="s">
        <v>263</v>
      </c>
      <c r="N123" s="7" t="s">
        <v>260</v>
      </c>
      <c r="O123" s="7"/>
      <c r="P123" s="37"/>
      <c r="Q123" s="7"/>
    </row>
    <row r="124">
      <c r="A124" s="7">
        <v>119.0</v>
      </c>
      <c r="B124" s="7" t="s">
        <v>375</v>
      </c>
      <c r="C124" s="7" t="str">
        <f>IFERROR(__xludf.DUMMYFUNCTION("GOOGLETRANSLATE($B124, $A$2, $B$2)"),"6 days ago")</f>
        <v>6 days ago</v>
      </c>
      <c r="D124" s="7" t="s">
        <v>624</v>
      </c>
      <c r="E124" s="7" t="s">
        <v>625</v>
      </c>
      <c r="F124" s="7" t="s">
        <v>626</v>
      </c>
      <c r="G124" s="7" t="s">
        <v>260</v>
      </c>
      <c r="H124" s="7" t="s">
        <v>261</v>
      </c>
      <c r="I124" s="7" t="s">
        <v>261</v>
      </c>
      <c r="J124" s="7" t="str">
        <f>IFERROR(__xludf.DUMMYFUNCTION("GOOGLETRANSLATE($I124, ""de"", ""en"")"),"NO SALARY DATA")</f>
        <v>NO SALARY DATA</v>
      </c>
      <c r="K124" s="7" t="s">
        <v>261</v>
      </c>
      <c r="L124" s="7" t="s">
        <v>627</v>
      </c>
      <c r="M124" s="7" t="s">
        <v>263</v>
      </c>
      <c r="N124" s="7" t="s">
        <v>260</v>
      </c>
      <c r="O124" s="7"/>
      <c r="P124" s="37"/>
      <c r="Q124" s="7"/>
    </row>
    <row r="125">
      <c r="A125" s="7">
        <v>120.0</v>
      </c>
      <c r="B125" s="7" t="s">
        <v>324</v>
      </c>
      <c r="C125" s="7" t="str">
        <f>IFERROR(__xludf.DUMMYFUNCTION("GOOGLETRANSLATE($B125, $A$2, $B$2)"),"3 days ago")</f>
        <v>3 days ago</v>
      </c>
      <c r="D125" s="7" t="s">
        <v>628</v>
      </c>
      <c r="E125" s="7" t="s">
        <v>629</v>
      </c>
      <c r="F125" s="7" t="s">
        <v>630</v>
      </c>
      <c r="G125" s="7" t="s">
        <v>260</v>
      </c>
      <c r="H125" s="7" t="s">
        <v>261</v>
      </c>
      <c r="I125" s="7" t="s">
        <v>261</v>
      </c>
      <c r="J125" s="7" t="str">
        <f>IFERROR(__xludf.DUMMYFUNCTION("GOOGLETRANSLATE($I125, ""de"", ""en"")"),"NO SALARY DATA")</f>
        <v>NO SALARY DATA</v>
      </c>
      <c r="K125" s="7" t="s">
        <v>261</v>
      </c>
      <c r="L125" s="7" t="s">
        <v>631</v>
      </c>
      <c r="M125" s="7" t="s">
        <v>452</v>
      </c>
      <c r="N125" s="7" t="s">
        <v>260</v>
      </c>
      <c r="O125" s="7"/>
      <c r="P125" s="37"/>
      <c r="Q125" s="7"/>
    </row>
    <row r="126">
      <c r="A126" s="7">
        <v>121.0</v>
      </c>
      <c r="B126" s="7" t="s">
        <v>265</v>
      </c>
      <c r="C126" s="7" t="str">
        <f>IFERROR(__xludf.DUMMYFUNCTION("GOOGLETRANSLATE($B126, $A$2, $B$2)"),"More than 30 days ago")</f>
        <v>More than 30 days ago</v>
      </c>
      <c r="D126" s="7" t="s">
        <v>632</v>
      </c>
      <c r="E126" s="7" t="s">
        <v>633</v>
      </c>
      <c r="F126" s="7" t="s">
        <v>634</v>
      </c>
      <c r="G126" s="7" t="s">
        <v>260</v>
      </c>
      <c r="H126" s="7" t="s">
        <v>261</v>
      </c>
      <c r="I126" s="7" t="s">
        <v>261</v>
      </c>
      <c r="J126" s="7" t="str">
        <f>IFERROR(__xludf.DUMMYFUNCTION("GOOGLETRANSLATE($I126, ""de"", ""en"")"),"NO SALARY DATA")</f>
        <v>NO SALARY DATA</v>
      </c>
      <c r="K126" s="7" t="s">
        <v>261</v>
      </c>
      <c r="L126" s="7" t="s">
        <v>441</v>
      </c>
      <c r="M126" s="7" t="s">
        <v>263</v>
      </c>
      <c r="N126" s="7" t="s">
        <v>260</v>
      </c>
      <c r="O126" s="7"/>
      <c r="P126" s="35"/>
      <c r="Q126" s="7"/>
    </row>
    <row r="127">
      <c r="A127" s="7">
        <v>122.0</v>
      </c>
      <c r="B127" s="7" t="s">
        <v>371</v>
      </c>
      <c r="C127" s="7" t="str">
        <f>IFERROR(__xludf.DUMMYFUNCTION("GOOGLETRANSLATE($B127, $A$2, $B$2)"),"Straight")</f>
        <v>Straight</v>
      </c>
      <c r="D127" s="7" t="s">
        <v>635</v>
      </c>
      <c r="E127" s="7" t="s">
        <v>408</v>
      </c>
      <c r="F127" s="7" t="s">
        <v>636</v>
      </c>
      <c r="G127" s="7" t="s">
        <v>260</v>
      </c>
      <c r="H127" s="7" t="s">
        <v>261</v>
      </c>
      <c r="I127" s="7" t="s">
        <v>261</v>
      </c>
      <c r="J127" s="7" t="str">
        <f>IFERROR(__xludf.DUMMYFUNCTION("GOOGLETRANSLATE($I127, ""de"", ""en"")"),"NO SALARY DATA")</f>
        <v>NO SALARY DATA</v>
      </c>
      <c r="K127" s="7" t="s">
        <v>261</v>
      </c>
      <c r="L127" s="7" t="s">
        <v>286</v>
      </c>
      <c r="M127" s="7" t="s">
        <v>263</v>
      </c>
      <c r="N127" s="7" t="s">
        <v>275</v>
      </c>
      <c r="O127" s="7"/>
      <c r="P127" s="37"/>
      <c r="Q127" s="7"/>
    </row>
    <row r="128">
      <c r="A128" s="7">
        <v>123.0</v>
      </c>
      <c r="B128" s="7" t="s">
        <v>265</v>
      </c>
      <c r="C128" s="7" t="str">
        <f>IFERROR(__xludf.DUMMYFUNCTION("GOOGLETRANSLATE($B128, $A$2, $B$2)"),"More than 30 days ago")</f>
        <v>More than 30 days ago</v>
      </c>
      <c r="D128" s="7" t="s">
        <v>525</v>
      </c>
      <c r="E128" s="7" t="s">
        <v>258</v>
      </c>
      <c r="F128" s="7" t="s">
        <v>526</v>
      </c>
      <c r="G128" s="7" t="s">
        <v>260</v>
      </c>
      <c r="H128" s="7" t="s">
        <v>261</v>
      </c>
      <c r="I128" s="7" t="s">
        <v>261</v>
      </c>
      <c r="J128" s="7" t="str">
        <f>IFERROR(__xludf.DUMMYFUNCTION("GOOGLETRANSLATE($I128, ""de"", ""en"")"),"NO SALARY DATA")</f>
        <v>NO SALARY DATA</v>
      </c>
      <c r="K128" s="7" t="s">
        <v>261</v>
      </c>
      <c r="L128" s="7" t="s">
        <v>527</v>
      </c>
      <c r="M128" s="7" t="s">
        <v>263</v>
      </c>
      <c r="N128" s="7" t="s">
        <v>260</v>
      </c>
      <c r="O128" s="7"/>
      <c r="P128" s="37"/>
      <c r="Q128" s="7"/>
    </row>
    <row r="129">
      <c r="A129" s="7">
        <v>124.0</v>
      </c>
      <c r="B129" s="7" t="s">
        <v>637</v>
      </c>
      <c r="C129" s="7" t="str">
        <f>IFERROR(__xludf.DUMMYFUNCTION("GOOGLETRANSLATE($B129, $A$2, $B$2)"),"17 days ago")</f>
        <v>17 days ago</v>
      </c>
      <c r="D129" s="7" t="s">
        <v>638</v>
      </c>
      <c r="E129" s="7" t="s">
        <v>639</v>
      </c>
      <c r="F129" s="7" t="s">
        <v>640</v>
      </c>
      <c r="G129" s="7" t="s">
        <v>260</v>
      </c>
      <c r="H129" s="7" t="s">
        <v>261</v>
      </c>
      <c r="I129" s="7" t="s">
        <v>261</v>
      </c>
      <c r="J129" s="7" t="str">
        <f>IFERROR(__xludf.DUMMYFUNCTION("GOOGLETRANSLATE($I129, ""de"", ""en"")"),"NO SALARY DATA")</f>
        <v>NO SALARY DATA</v>
      </c>
      <c r="K129" s="7" t="s">
        <v>261</v>
      </c>
      <c r="L129" s="7" t="s">
        <v>312</v>
      </c>
      <c r="M129" s="7" t="s">
        <v>263</v>
      </c>
      <c r="N129" s="7" t="s">
        <v>260</v>
      </c>
      <c r="O129" s="7"/>
      <c r="P129" s="35"/>
      <c r="Q129" s="7"/>
    </row>
    <row r="130">
      <c r="A130" s="7">
        <v>125.0</v>
      </c>
      <c r="B130" s="7" t="s">
        <v>269</v>
      </c>
      <c r="C130" s="7" t="str">
        <f>IFERROR(__xludf.DUMMYFUNCTION("GOOGLETRANSLATE($B130, $A$2, $B$2)"),"5 days ago")</f>
        <v>5 days ago</v>
      </c>
      <c r="D130" s="7" t="s">
        <v>641</v>
      </c>
      <c r="E130" s="7" t="s">
        <v>343</v>
      </c>
      <c r="F130" s="7" t="s">
        <v>642</v>
      </c>
      <c r="G130" s="7" t="s">
        <v>260</v>
      </c>
      <c r="H130" s="7" t="s">
        <v>261</v>
      </c>
      <c r="I130" s="7" t="s">
        <v>261</v>
      </c>
      <c r="J130" s="7" t="str">
        <f>IFERROR(__xludf.DUMMYFUNCTION("GOOGLETRANSLATE($I130, ""de"", ""en"")"),"NO SALARY DATA")</f>
        <v>NO SALARY DATA</v>
      </c>
      <c r="K130" s="7" t="s">
        <v>261</v>
      </c>
      <c r="L130" s="7" t="s">
        <v>643</v>
      </c>
      <c r="M130" s="7" t="s">
        <v>263</v>
      </c>
      <c r="N130" s="7" t="s">
        <v>275</v>
      </c>
      <c r="O130" s="7"/>
      <c r="P130" s="35"/>
      <c r="Q130" s="7"/>
    </row>
    <row r="131">
      <c r="A131" s="7">
        <v>126.0</v>
      </c>
      <c r="B131" s="7" t="s">
        <v>324</v>
      </c>
      <c r="C131" s="7" t="str">
        <f>IFERROR(__xludf.DUMMYFUNCTION("GOOGLETRANSLATE($B131, $A$2, $B$2)"),"3 days ago")</f>
        <v>3 days ago</v>
      </c>
      <c r="D131" s="7" t="s">
        <v>644</v>
      </c>
      <c r="E131" s="7" t="s">
        <v>405</v>
      </c>
      <c r="F131" s="7" t="s">
        <v>645</v>
      </c>
      <c r="G131" s="7" t="s">
        <v>260</v>
      </c>
      <c r="H131" s="7" t="s">
        <v>261</v>
      </c>
      <c r="I131" s="7" t="s">
        <v>261</v>
      </c>
      <c r="J131" s="7" t="str">
        <f>IFERROR(__xludf.DUMMYFUNCTION("GOOGLETRANSLATE($I131, ""de"", ""en"")"),"NO SALARY DATA")</f>
        <v>NO SALARY DATA</v>
      </c>
      <c r="K131" s="7" t="s">
        <v>261</v>
      </c>
      <c r="L131" s="7" t="s">
        <v>646</v>
      </c>
      <c r="M131" s="7" t="s">
        <v>263</v>
      </c>
      <c r="N131" s="7" t="s">
        <v>532</v>
      </c>
      <c r="O131" s="7"/>
      <c r="P131" s="37"/>
      <c r="Q131" s="7"/>
    </row>
    <row r="132">
      <c r="A132" s="7">
        <v>127.0</v>
      </c>
      <c r="B132" s="7" t="s">
        <v>469</v>
      </c>
      <c r="C132" s="7" t="str">
        <f>IFERROR(__xludf.DUMMYFUNCTION("GOOGLETRANSLATE($B132, $A$2, $B$2)"),"19 days ago")</f>
        <v>19 days ago</v>
      </c>
      <c r="D132" s="7" t="s">
        <v>647</v>
      </c>
      <c r="E132" s="7" t="s">
        <v>405</v>
      </c>
      <c r="F132" s="7" t="s">
        <v>648</v>
      </c>
      <c r="G132" s="7" t="s">
        <v>260</v>
      </c>
      <c r="H132" s="7" t="s">
        <v>261</v>
      </c>
      <c r="I132" s="7" t="s">
        <v>261</v>
      </c>
      <c r="J132" s="7" t="str">
        <f>IFERROR(__xludf.DUMMYFUNCTION("GOOGLETRANSLATE($I132, ""de"", ""en"")"),"NO SALARY DATA")</f>
        <v>NO SALARY DATA</v>
      </c>
      <c r="K132" s="7" t="s">
        <v>261</v>
      </c>
      <c r="L132" s="7" t="s">
        <v>649</v>
      </c>
      <c r="M132" s="7" t="s">
        <v>263</v>
      </c>
      <c r="N132" s="7" t="s">
        <v>260</v>
      </c>
      <c r="O132" s="7"/>
      <c r="P132" s="35"/>
      <c r="Q132" s="7"/>
    </row>
    <row r="133">
      <c r="A133" s="7">
        <v>128.0</v>
      </c>
      <c r="B133" s="7" t="s">
        <v>650</v>
      </c>
      <c r="C133" s="7" t="str">
        <f>IFERROR(__xludf.DUMMYFUNCTION("GOOGLETRANSLATE($B133, $A$2, $B$2)"),"16 days ago")</f>
        <v>16 days ago</v>
      </c>
      <c r="D133" s="7" t="s">
        <v>651</v>
      </c>
      <c r="E133" s="7" t="s">
        <v>622</v>
      </c>
      <c r="F133" s="7" t="s">
        <v>652</v>
      </c>
      <c r="G133" s="7" t="s">
        <v>260</v>
      </c>
      <c r="H133" s="7" t="s">
        <v>261</v>
      </c>
      <c r="I133" s="7" t="s">
        <v>261</v>
      </c>
      <c r="J133" s="7" t="str">
        <f>IFERROR(__xludf.DUMMYFUNCTION("GOOGLETRANSLATE($I133, ""de"", ""en"")"),"NO SALARY DATA")</f>
        <v>NO SALARY DATA</v>
      </c>
      <c r="K133" s="7" t="s">
        <v>261</v>
      </c>
      <c r="L133" s="7" t="s">
        <v>653</v>
      </c>
      <c r="M133" s="7" t="s">
        <v>274</v>
      </c>
      <c r="N133" s="7" t="s">
        <v>532</v>
      </c>
      <c r="O133" s="7"/>
      <c r="P133" s="37"/>
      <c r="Q133" s="7"/>
    </row>
    <row r="134">
      <c r="A134" s="7">
        <v>129.0</v>
      </c>
      <c r="B134" s="7" t="s">
        <v>637</v>
      </c>
      <c r="C134" s="7" t="str">
        <f>IFERROR(__xludf.DUMMYFUNCTION("GOOGLETRANSLATE($B134, $A$2, $B$2)"),"17 days ago")</f>
        <v>17 days ago</v>
      </c>
      <c r="D134" s="7" t="s">
        <v>654</v>
      </c>
      <c r="E134" s="7" t="s">
        <v>343</v>
      </c>
      <c r="F134" s="7" t="s">
        <v>655</v>
      </c>
      <c r="G134" s="7" t="s">
        <v>260</v>
      </c>
      <c r="H134" s="7" t="s">
        <v>261</v>
      </c>
      <c r="I134" s="7" t="s">
        <v>261</v>
      </c>
      <c r="J134" s="7" t="str">
        <f>IFERROR(__xludf.DUMMYFUNCTION("GOOGLETRANSLATE($I134, ""de"", ""en"")"),"NO SALARY DATA")</f>
        <v>NO SALARY DATA</v>
      </c>
      <c r="K134" s="7" t="s">
        <v>261</v>
      </c>
      <c r="L134" s="7"/>
      <c r="M134" s="7" t="s">
        <v>263</v>
      </c>
      <c r="N134" s="7" t="s">
        <v>260</v>
      </c>
      <c r="O134" s="7"/>
      <c r="P134" s="37"/>
      <c r="Q134" s="7"/>
    </row>
    <row r="135">
      <c r="A135" s="7">
        <v>130.0</v>
      </c>
      <c r="B135" s="7" t="s">
        <v>265</v>
      </c>
      <c r="C135" s="7" t="str">
        <f>IFERROR(__xludf.DUMMYFUNCTION("GOOGLETRANSLATE($B135, $A$2, $B$2)"),"More than 30 days ago")</f>
        <v>More than 30 days ago</v>
      </c>
      <c r="D135" s="7" t="s">
        <v>276</v>
      </c>
      <c r="E135" s="7" t="s">
        <v>258</v>
      </c>
      <c r="F135" s="7" t="s">
        <v>656</v>
      </c>
      <c r="G135" s="7" t="s">
        <v>260</v>
      </c>
      <c r="H135" s="7" t="s">
        <v>261</v>
      </c>
      <c r="I135" s="7" t="s">
        <v>261</v>
      </c>
      <c r="J135" s="7" t="str">
        <f>IFERROR(__xludf.DUMMYFUNCTION("GOOGLETRANSLATE($I135, ""de"", ""en"")"),"NO SALARY DATA")</f>
        <v>NO SALARY DATA</v>
      </c>
      <c r="K135" s="7" t="s">
        <v>261</v>
      </c>
      <c r="L135" s="7" t="s">
        <v>657</v>
      </c>
      <c r="M135" s="7" t="s">
        <v>263</v>
      </c>
      <c r="N135" s="7" t="s">
        <v>260</v>
      </c>
      <c r="O135" s="7"/>
      <c r="P135" s="35"/>
      <c r="Q135" s="7"/>
    </row>
    <row r="136">
      <c r="A136" s="7">
        <v>131.0</v>
      </c>
      <c r="B136" s="7" t="s">
        <v>469</v>
      </c>
      <c r="C136" s="7" t="str">
        <f>IFERROR(__xludf.DUMMYFUNCTION("GOOGLETRANSLATE($B136, $A$2, $B$2)"),"19 days ago")</f>
        <v>19 days ago</v>
      </c>
      <c r="D136" s="7" t="s">
        <v>658</v>
      </c>
      <c r="E136" s="7" t="s">
        <v>343</v>
      </c>
      <c r="F136" s="7" t="s">
        <v>659</v>
      </c>
      <c r="G136" s="7" t="s">
        <v>260</v>
      </c>
      <c r="H136" s="7" t="s">
        <v>261</v>
      </c>
      <c r="I136" s="7" t="s">
        <v>261</v>
      </c>
      <c r="J136" s="7" t="str">
        <f>IFERROR(__xludf.DUMMYFUNCTION("GOOGLETRANSLATE($I136, ""de"", ""en"")"),"NO SALARY DATA")</f>
        <v>NO SALARY DATA</v>
      </c>
      <c r="K136" s="7" t="s">
        <v>261</v>
      </c>
      <c r="L136" s="7" t="s">
        <v>660</v>
      </c>
      <c r="M136" s="7" t="s">
        <v>263</v>
      </c>
      <c r="N136" s="7" t="s">
        <v>275</v>
      </c>
      <c r="O136" s="7"/>
      <c r="P136" s="37"/>
      <c r="Q136" s="7"/>
    </row>
    <row r="137">
      <c r="A137" s="7">
        <v>132.0</v>
      </c>
      <c r="B137" s="7" t="s">
        <v>332</v>
      </c>
      <c r="C137" s="7" t="str">
        <f>IFERROR(__xludf.DUMMYFUNCTION("GOOGLETRANSLATE($B137, $A$2, $B$2)"),"4 days ago")</f>
        <v>4 days ago</v>
      </c>
      <c r="D137" s="7" t="s">
        <v>661</v>
      </c>
      <c r="E137" s="7" t="s">
        <v>298</v>
      </c>
      <c r="F137" s="7" t="s">
        <v>662</v>
      </c>
      <c r="G137" s="7" t="s">
        <v>260</v>
      </c>
      <c r="H137" s="7" t="s">
        <v>261</v>
      </c>
      <c r="I137" s="7" t="s">
        <v>261</v>
      </c>
      <c r="J137" s="7" t="str">
        <f>IFERROR(__xludf.DUMMYFUNCTION("GOOGLETRANSLATE($I137, ""de"", ""en"")"),"NO SALARY DATA")</f>
        <v>NO SALARY DATA</v>
      </c>
      <c r="K137" s="7" t="s">
        <v>261</v>
      </c>
      <c r="L137" s="7" t="s">
        <v>663</v>
      </c>
      <c r="M137" s="7" t="s">
        <v>274</v>
      </c>
      <c r="N137" s="7" t="s">
        <v>260</v>
      </c>
      <c r="O137" s="7"/>
      <c r="P137" s="35"/>
      <c r="Q137" s="7"/>
    </row>
    <row r="138">
      <c r="A138" s="7">
        <v>133.0</v>
      </c>
      <c r="B138" s="7" t="s">
        <v>269</v>
      </c>
      <c r="C138" s="7" t="str">
        <f>IFERROR(__xludf.DUMMYFUNCTION("GOOGLETRANSLATE($B138, $A$2, $B$2)"),"5 days ago")</f>
        <v>5 days ago</v>
      </c>
      <c r="D138" s="7" t="s">
        <v>664</v>
      </c>
      <c r="E138" s="7" t="s">
        <v>258</v>
      </c>
      <c r="F138" s="7" t="s">
        <v>665</v>
      </c>
      <c r="G138" s="7" t="s">
        <v>260</v>
      </c>
      <c r="H138" s="7" t="s">
        <v>261</v>
      </c>
      <c r="I138" s="7" t="s">
        <v>261</v>
      </c>
      <c r="J138" s="7" t="str">
        <f>IFERROR(__xludf.DUMMYFUNCTION("GOOGLETRANSLATE($I138, ""de"", ""en"")"),"NO SALARY DATA")</f>
        <v>NO SALARY DATA</v>
      </c>
      <c r="K138" s="7" t="s">
        <v>261</v>
      </c>
      <c r="L138" s="7" t="s">
        <v>666</v>
      </c>
      <c r="M138" s="7" t="s">
        <v>667</v>
      </c>
      <c r="N138" s="7" t="s">
        <v>486</v>
      </c>
      <c r="O138" s="7"/>
      <c r="P138" s="35"/>
      <c r="Q138" s="7"/>
    </row>
    <row r="139">
      <c r="A139" s="7">
        <v>134.0</v>
      </c>
      <c r="B139" s="7" t="s">
        <v>346</v>
      </c>
      <c r="C139" s="7" t="str">
        <f>IFERROR(__xludf.DUMMYFUNCTION("GOOGLETRANSLATE($B139, $A$2, $B$2)"),"12 days ago")</f>
        <v>12 days ago</v>
      </c>
      <c r="D139" s="7" t="s">
        <v>668</v>
      </c>
      <c r="E139" s="7" t="s">
        <v>669</v>
      </c>
      <c r="F139" s="7" t="s">
        <v>670</v>
      </c>
      <c r="G139" s="7" t="s">
        <v>260</v>
      </c>
      <c r="H139" s="7" t="s">
        <v>261</v>
      </c>
      <c r="I139" s="7" t="s">
        <v>261</v>
      </c>
      <c r="J139" s="7" t="str">
        <f>IFERROR(__xludf.DUMMYFUNCTION("GOOGLETRANSLATE($I139, ""de"", ""en"")"),"NO SALARY DATA")</f>
        <v>NO SALARY DATA</v>
      </c>
      <c r="K139" s="7" t="s">
        <v>261</v>
      </c>
      <c r="L139" s="7" t="s">
        <v>527</v>
      </c>
      <c r="M139" s="7" t="s">
        <v>274</v>
      </c>
      <c r="N139" s="7" t="s">
        <v>532</v>
      </c>
      <c r="O139" s="7"/>
      <c r="P139" s="37"/>
      <c r="Q139" s="7"/>
    </row>
    <row r="140">
      <c r="A140" s="7">
        <v>135.0</v>
      </c>
      <c r="B140" s="7" t="s">
        <v>265</v>
      </c>
      <c r="C140" s="7" t="str">
        <f>IFERROR(__xludf.DUMMYFUNCTION("GOOGLETRANSLATE($B140, $A$2, $B$2)"),"More than 30 days ago")</f>
        <v>More than 30 days ago</v>
      </c>
      <c r="D140" s="7" t="s">
        <v>671</v>
      </c>
      <c r="E140" s="7" t="s">
        <v>258</v>
      </c>
      <c r="F140" s="7" t="s">
        <v>672</v>
      </c>
      <c r="G140" s="7" t="s">
        <v>260</v>
      </c>
      <c r="H140" s="7" t="s">
        <v>261</v>
      </c>
      <c r="I140" s="7" t="s">
        <v>261</v>
      </c>
      <c r="J140" s="7" t="str">
        <f>IFERROR(__xludf.DUMMYFUNCTION("GOOGLETRANSLATE($I140, ""de"", ""en"")"),"NO SALARY DATA")</f>
        <v>NO SALARY DATA</v>
      </c>
      <c r="K140" s="7" t="s">
        <v>261</v>
      </c>
      <c r="L140" s="7" t="s">
        <v>318</v>
      </c>
      <c r="M140" s="7" t="s">
        <v>673</v>
      </c>
      <c r="N140" s="7" t="s">
        <v>260</v>
      </c>
      <c r="O140" s="7"/>
      <c r="P140" s="37"/>
      <c r="Q140" s="7"/>
    </row>
    <row r="141">
      <c r="A141" s="7">
        <v>136.0</v>
      </c>
      <c r="B141" s="7" t="s">
        <v>265</v>
      </c>
      <c r="C141" s="7" t="str">
        <f>IFERROR(__xludf.DUMMYFUNCTION("GOOGLETRANSLATE($B141, $A$2, $B$2)"),"More than 30 days ago")</f>
        <v>More than 30 days ago</v>
      </c>
      <c r="D141" s="7" t="s">
        <v>674</v>
      </c>
      <c r="E141" s="7" t="s">
        <v>352</v>
      </c>
      <c r="F141" s="7" t="s">
        <v>675</v>
      </c>
      <c r="G141" s="7" t="s">
        <v>260</v>
      </c>
      <c r="H141" s="7" t="s">
        <v>261</v>
      </c>
      <c r="I141" s="7" t="s">
        <v>261</v>
      </c>
      <c r="J141" s="7" t="str">
        <f>IFERROR(__xludf.DUMMYFUNCTION("GOOGLETRANSLATE($I141, ""de"", ""en"")"),"NO SALARY DATA")</f>
        <v>NO SALARY DATA</v>
      </c>
      <c r="K141" s="7" t="s">
        <v>261</v>
      </c>
      <c r="L141" s="7" t="s">
        <v>419</v>
      </c>
      <c r="M141" s="7" t="s">
        <v>263</v>
      </c>
      <c r="N141" s="7" t="s">
        <v>260</v>
      </c>
      <c r="O141" s="7"/>
      <c r="P141" s="37"/>
      <c r="Q141" s="7"/>
    </row>
    <row r="142">
      <c r="A142" s="7">
        <v>137.0</v>
      </c>
      <c r="B142" s="7" t="s">
        <v>265</v>
      </c>
      <c r="C142" s="7" t="str">
        <f>IFERROR(__xludf.DUMMYFUNCTION("GOOGLETRANSLATE($B142, $A$2, $B$2)"),"More than 30 days ago")</f>
        <v>More than 30 days ago</v>
      </c>
      <c r="D142" s="7" t="s">
        <v>676</v>
      </c>
      <c r="E142" s="7" t="s">
        <v>280</v>
      </c>
      <c r="F142" s="7" t="s">
        <v>281</v>
      </c>
      <c r="G142" s="7" t="s">
        <v>260</v>
      </c>
      <c r="H142" s="7" t="s">
        <v>261</v>
      </c>
      <c r="I142" s="7" t="s">
        <v>261</v>
      </c>
      <c r="J142" s="7" t="str">
        <f>IFERROR(__xludf.DUMMYFUNCTION("GOOGLETRANSLATE($I142, ""de"", ""en"")"),"NO SALARY DATA")</f>
        <v>NO SALARY DATA</v>
      </c>
      <c r="K142" s="7" t="s">
        <v>261</v>
      </c>
      <c r="L142" s="7" t="s">
        <v>282</v>
      </c>
      <c r="M142" s="7" t="s">
        <v>263</v>
      </c>
      <c r="N142" s="7" t="s">
        <v>260</v>
      </c>
      <c r="O142" s="7"/>
      <c r="P142" s="35"/>
      <c r="Q142" s="7"/>
    </row>
    <row r="143">
      <c r="A143" s="7">
        <v>138.0</v>
      </c>
      <c r="B143" s="7" t="s">
        <v>392</v>
      </c>
      <c r="C143" s="7" t="str">
        <f>IFERROR(__xludf.DUMMYFUNCTION("GOOGLETRANSLATE($B143, $A$2, $B$2)"),"10 days ago")</f>
        <v>10 days ago</v>
      </c>
      <c r="D143" s="7" t="s">
        <v>677</v>
      </c>
      <c r="E143" s="7" t="s">
        <v>408</v>
      </c>
      <c r="F143" s="7" t="s">
        <v>444</v>
      </c>
      <c r="G143" s="7" t="s">
        <v>260</v>
      </c>
      <c r="H143" s="7" t="s">
        <v>261</v>
      </c>
      <c r="I143" s="7" t="s">
        <v>261</v>
      </c>
      <c r="J143" s="7" t="str">
        <f>IFERROR(__xludf.DUMMYFUNCTION("GOOGLETRANSLATE($I143, ""de"", ""en"")"),"NO SALARY DATA")</f>
        <v>NO SALARY DATA</v>
      </c>
      <c r="K143" s="7" t="s">
        <v>261</v>
      </c>
      <c r="L143" s="7" t="s">
        <v>309</v>
      </c>
      <c r="M143" s="7" t="s">
        <v>322</v>
      </c>
      <c r="N143" s="7" t="s">
        <v>323</v>
      </c>
      <c r="O143" s="7"/>
      <c r="P143" s="37"/>
      <c r="Q143" s="7"/>
    </row>
    <row r="144">
      <c r="A144" s="7">
        <v>139.0</v>
      </c>
      <c r="B144" s="7" t="s">
        <v>265</v>
      </c>
      <c r="C144" s="7" t="str">
        <f>IFERROR(__xludf.DUMMYFUNCTION("GOOGLETRANSLATE($B144, $A$2, $B$2)"),"More than 30 days ago")</f>
        <v>More than 30 days ago</v>
      </c>
      <c r="D144" s="7" t="s">
        <v>678</v>
      </c>
      <c r="E144" s="7" t="s">
        <v>544</v>
      </c>
      <c r="F144" s="7" t="s">
        <v>679</v>
      </c>
      <c r="G144" s="7" t="s">
        <v>260</v>
      </c>
      <c r="H144" s="7" t="s">
        <v>261</v>
      </c>
      <c r="I144" s="7" t="s">
        <v>261</v>
      </c>
      <c r="J144" s="7" t="str">
        <f>IFERROR(__xludf.DUMMYFUNCTION("GOOGLETRANSLATE($I144, ""de"", ""en"")"),"NO SALARY DATA")</f>
        <v>NO SALARY DATA</v>
      </c>
      <c r="K144" s="7" t="s">
        <v>261</v>
      </c>
      <c r="L144" s="7" t="s">
        <v>649</v>
      </c>
      <c r="M144" s="7" t="s">
        <v>263</v>
      </c>
      <c r="N144" s="7" t="s">
        <v>260</v>
      </c>
      <c r="O144" s="7"/>
      <c r="P144" s="37"/>
      <c r="Q144" s="7"/>
    </row>
    <row r="145">
      <c r="A145" s="7">
        <v>140.0</v>
      </c>
      <c r="B145" s="7" t="s">
        <v>358</v>
      </c>
      <c r="C145" s="7" t="str">
        <f>IFERROR(__xludf.DUMMYFUNCTION("GOOGLETRANSLATE($B145, $A$2, $B$2)"),"28 days ago")</f>
        <v>28 days ago</v>
      </c>
      <c r="D145" s="7" t="s">
        <v>680</v>
      </c>
      <c r="E145" s="7" t="s">
        <v>401</v>
      </c>
      <c r="F145" s="7" t="s">
        <v>681</v>
      </c>
      <c r="G145" s="7" t="s">
        <v>260</v>
      </c>
      <c r="H145" s="7" t="s">
        <v>261</v>
      </c>
      <c r="I145" s="7" t="s">
        <v>261</v>
      </c>
      <c r="J145" s="7" t="str">
        <f>IFERROR(__xludf.DUMMYFUNCTION("GOOGLETRANSLATE($I145, ""de"", ""en"")"),"NO SALARY DATA")</f>
        <v>NO SALARY DATA</v>
      </c>
      <c r="K145" s="7" t="s">
        <v>261</v>
      </c>
      <c r="L145" s="7" t="s">
        <v>345</v>
      </c>
      <c r="M145" s="7" t="s">
        <v>263</v>
      </c>
      <c r="N145" s="7" t="s">
        <v>260</v>
      </c>
      <c r="O145" s="7"/>
      <c r="P145" s="37"/>
      <c r="Q145" s="7"/>
    </row>
    <row r="146">
      <c r="A146" s="7">
        <v>141.0</v>
      </c>
      <c r="B146" s="7" t="s">
        <v>332</v>
      </c>
      <c r="C146" s="7" t="str">
        <f>IFERROR(__xludf.DUMMYFUNCTION("GOOGLETRANSLATE($B146, $A$2, $B$2)"),"4 days ago")</f>
        <v>4 days ago</v>
      </c>
      <c r="D146" s="7" t="s">
        <v>682</v>
      </c>
      <c r="E146" s="7" t="s">
        <v>683</v>
      </c>
      <c r="F146" s="7" t="s">
        <v>684</v>
      </c>
      <c r="G146" s="7" t="s">
        <v>260</v>
      </c>
      <c r="H146" s="7" t="s">
        <v>261</v>
      </c>
      <c r="I146" s="7" t="s">
        <v>261</v>
      </c>
      <c r="J146" s="7" t="str">
        <f>IFERROR(__xludf.DUMMYFUNCTION("GOOGLETRANSLATE($I146, ""de"", ""en"")"),"NO SALARY DATA")</f>
        <v>NO SALARY DATA</v>
      </c>
      <c r="K146" s="7" t="s">
        <v>261</v>
      </c>
      <c r="L146" s="7" t="s">
        <v>558</v>
      </c>
      <c r="M146" s="7" t="s">
        <v>414</v>
      </c>
      <c r="N146" s="7" t="s">
        <v>260</v>
      </c>
      <c r="O146" s="7"/>
      <c r="P146" s="37"/>
      <c r="Q146" s="7"/>
    </row>
    <row r="147">
      <c r="A147" s="7">
        <v>142.0</v>
      </c>
      <c r="B147" s="7" t="s">
        <v>265</v>
      </c>
      <c r="C147" s="7" t="str">
        <f>IFERROR(__xludf.DUMMYFUNCTION("GOOGLETRANSLATE($B147, $A$2, $B$2)"),"More than 30 days ago")</f>
        <v>More than 30 days ago</v>
      </c>
      <c r="D147" s="7" t="s">
        <v>685</v>
      </c>
      <c r="E147" s="7" t="s">
        <v>258</v>
      </c>
      <c r="F147" s="7" t="s">
        <v>686</v>
      </c>
      <c r="G147" s="7" t="s">
        <v>260</v>
      </c>
      <c r="H147" s="7" t="s">
        <v>261</v>
      </c>
      <c r="I147" s="7" t="s">
        <v>261</v>
      </c>
      <c r="J147" s="7" t="str">
        <f>IFERROR(__xludf.DUMMYFUNCTION("GOOGLETRANSLATE($I147, ""de"", ""en"")"),"NO SALARY DATA")</f>
        <v>NO SALARY DATA</v>
      </c>
      <c r="K147" s="7" t="s">
        <v>261</v>
      </c>
      <c r="L147" s="7" t="s">
        <v>687</v>
      </c>
      <c r="M147" s="7" t="s">
        <v>263</v>
      </c>
      <c r="N147" s="7" t="s">
        <v>260</v>
      </c>
      <c r="O147" s="7"/>
      <c r="P147" s="37"/>
      <c r="Q147" s="7"/>
    </row>
    <row r="148">
      <c r="A148" s="7">
        <v>143.0</v>
      </c>
      <c r="B148" s="7" t="s">
        <v>269</v>
      </c>
      <c r="C148" s="7" t="str">
        <f>IFERROR(__xludf.DUMMYFUNCTION("GOOGLETRANSLATE($B148, $A$2, $B$2)"),"5 days ago")</f>
        <v>5 days ago</v>
      </c>
      <c r="D148" s="7" t="s">
        <v>688</v>
      </c>
      <c r="E148" s="7" t="s">
        <v>622</v>
      </c>
      <c r="F148" s="7" t="s">
        <v>689</v>
      </c>
      <c r="G148" s="7" t="s">
        <v>260</v>
      </c>
      <c r="H148" s="7" t="s">
        <v>261</v>
      </c>
      <c r="I148" s="7" t="s">
        <v>261</v>
      </c>
      <c r="J148" s="7" t="str">
        <f>IFERROR(__xludf.DUMMYFUNCTION("GOOGLETRANSLATE($I148, ""de"", ""en"")"),"NO SALARY DATA")</f>
        <v>NO SALARY DATA</v>
      </c>
      <c r="K148" s="7" t="s">
        <v>261</v>
      </c>
      <c r="L148" s="7" t="s">
        <v>690</v>
      </c>
      <c r="M148" s="7" t="s">
        <v>274</v>
      </c>
      <c r="N148" s="7" t="s">
        <v>260</v>
      </c>
      <c r="O148" s="7"/>
      <c r="P148" s="35"/>
      <c r="Q148" s="7"/>
    </row>
    <row r="149">
      <c r="A149" s="7">
        <v>144.0</v>
      </c>
      <c r="B149" s="7" t="s">
        <v>256</v>
      </c>
      <c r="C149" s="7" t="str">
        <f>IFERROR(__xludf.DUMMYFUNCTION("GOOGLETRANSLATE($B149, $A$2, $B$2)"),"7 days ago")</f>
        <v>7 days ago</v>
      </c>
      <c r="D149" s="7" t="s">
        <v>691</v>
      </c>
      <c r="E149" s="7" t="s">
        <v>692</v>
      </c>
      <c r="F149" s="7" t="s">
        <v>693</v>
      </c>
      <c r="G149" s="7" t="s">
        <v>260</v>
      </c>
      <c r="H149" s="7" t="s">
        <v>261</v>
      </c>
      <c r="I149" s="7" t="s">
        <v>261</v>
      </c>
      <c r="J149" s="7" t="str">
        <f>IFERROR(__xludf.DUMMYFUNCTION("GOOGLETRANSLATE($I149, ""de"", ""en"")"),"NO SALARY DATA")</f>
        <v>NO SALARY DATA</v>
      </c>
      <c r="K149" s="7" t="s">
        <v>261</v>
      </c>
      <c r="L149" s="7" t="s">
        <v>694</v>
      </c>
      <c r="M149" s="7" t="s">
        <v>263</v>
      </c>
      <c r="N149" s="7" t="s">
        <v>340</v>
      </c>
      <c r="O149" s="7"/>
      <c r="P149" s="35"/>
      <c r="Q149" s="7"/>
    </row>
    <row r="150">
      <c r="A150" s="7">
        <v>145.0</v>
      </c>
      <c r="B150" s="7" t="s">
        <v>265</v>
      </c>
      <c r="C150" s="7" t="str">
        <f>IFERROR(__xludf.DUMMYFUNCTION("GOOGLETRANSLATE($B150, $A$2, $B$2)"),"More than 30 days ago")</f>
        <v>More than 30 days ago</v>
      </c>
      <c r="D150" s="7" t="s">
        <v>695</v>
      </c>
      <c r="E150" s="7" t="s">
        <v>271</v>
      </c>
      <c r="F150" s="7" t="s">
        <v>504</v>
      </c>
      <c r="G150" s="7" t="s">
        <v>260</v>
      </c>
      <c r="H150" s="7" t="s">
        <v>261</v>
      </c>
      <c r="I150" s="7" t="s">
        <v>261</v>
      </c>
      <c r="J150" s="7" t="str">
        <f>IFERROR(__xludf.DUMMYFUNCTION("GOOGLETRANSLATE($I150, ""de"", ""en"")"),"NO SALARY DATA")</f>
        <v>NO SALARY DATA</v>
      </c>
      <c r="K150" s="7" t="s">
        <v>261</v>
      </c>
      <c r="L150" s="7" t="s">
        <v>696</v>
      </c>
      <c r="M150" s="7" t="s">
        <v>263</v>
      </c>
      <c r="N150" s="7" t="s">
        <v>275</v>
      </c>
      <c r="O150" s="7"/>
      <c r="P150" s="37"/>
      <c r="Q150" s="7"/>
    </row>
    <row r="151">
      <c r="A151" s="7">
        <v>146.0</v>
      </c>
      <c r="B151" s="7" t="s">
        <v>265</v>
      </c>
      <c r="C151" s="7" t="str">
        <f>IFERROR(__xludf.DUMMYFUNCTION("GOOGLETRANSLATE($B151, $A$2, $B$2)"),"More than 30 days ago")</f>
        <v>More than 30 days ago</v>
      </c>
      <c r="D151" s="7" t="s">
        <v>697</v>
      </c>
      <c r="E151" s="7" t="s">
        <v>280</v>
      </c>
      <c r="F151" s="7" t="s">
        <v>698</v>
      </c>
      <c r="G151" s="7" t="s">
        <v>260</v>
      </c>
      <c r="H151" s="7" t="s">
        <v>261</v>
      </c>
      <c r="I151" s="7" t="s">
        <v>261</v>
      </c>
      <c r="J151" s="7" t="str">
        <f>IFERROR(__xludf.DUMMYFUNCTION("GOOGLETRANSLATE($I151, ""de"", ""en"")"),"NO SALARY DATA")</f>
        <v>NO SALARY DATA</v>
      </c>
      <c r="K151" s="7" t="s">
        <v>261</v>
      </c>
      <c r="L151" s="7" t="s">
        <v>699</v>
      </c>
      <c r="M151" s="7" t="s">
        <v>263</v>
      </c>
      <c r="N151" s="7" t="s">
        <v>260</v>
      </c>
      <c r="O151" s="7"/>
      <c r="P151" s="37"/>
      <c r="Q151" s="7"/>
    </row>
    <row r="152">
      <c r="A152" s="7">
        <v>147.0</v>
      </c>
      <c r="B152" s="7" t="s">
        <v>265</v>
      </c>
      <c r="C152" s="7" t="str">
        <f>IFERROR(__xludf.DUMMYFUNCTION("GOOGLETRANSLATE($B152, $A$2, $B$2)"),"More than 30 days ago")</f>
        <v>More than 30 days ago</v>
      </c>
      <c r="D152" s="7" t="s">
        <v>700</v>
      </c>
      <c r="E152" s="7" t="s">
        <v>539</v>
      </c>
      <c r="F152" s="7" t="s">
        <v>574</v>
      </c>
      <c r="G152" s="7" t="s">
        <v>260</v>
      </c>
      <c r="H152" s="7" t="s">
        <v>261</v>
      </c>
      <c r="I152" s="7" t="s">
        <v>261</v>
      </c>
      <c r="J152" s="7" t="str">
        <f>IFERROR(__xludf.DUMMYFUNCTION("GOOGLETRANSLATE($I152, ""de"", ""en"")"),"NO SALARY DATA")</f>
        <v>NO SALARY DATA</v>
      </c>
      <c r="K152" s="7" t="s">
        <v>261</v>
      </c>
      <c r="L152" s="7" t="s">
        <v>312</v>
      </c>
      <c r="M152" s="7" t="s">
        <v>263</v>
      </c>
      <c r="N152" s="7" t="s">
        <v>260</v>
      </c>
      <c r="O152" s="7"/>
      <c r="P152" s="35"/>
      <c r="Q152" s="7"/>
    </row>
    <row r="153">
      <c r="A153" s="7">
        <v>148.0</v>
      </c>
      <c r="B153" s="7" t="s">
        <v>265</v>
      </c>
      <c r="C153" s="7" t="str">
        <f>IFERROR(__xludf.DUMMYFUNCTION("GOOGLETRANSLATE($B153, $A$2, $B$2)"),"More than 30 days ago")</f>
        <v>More than 30 days ago</v>
      </c>
      <c r="D153" s="7" t="s">
        <v>701</v>
      </c>
      <c r="E153" s="7" t="s">
        <v>702</v>
      </c>
      <c r="F153" s="7" t="s">
        <v>703</v>
      </c>
      <c r="G153" s="7" t="s">
        <v>260</v>
      </c>
      <c r="H153" s="7" t="s">
        <v>261</v>
      </c>
      <c r="I153" s="7" t="s">
        <v>261</v>
      </c>
      <c r="J153" s="7" t="str">
        <f>IFERROR(__xludf.DUMMYFUNCTION("GOOGLETRANSLATE($I153, ""de"", ""en"")"),"NO SALARY DATA")</f>
        <v>NO SALARY DATA</v>
      </c>
      <c r="K153" s="7" t="s">
        <v>261</v>
      </c>
      <c r="L153" s="7" t="s">
        <v>423</v>
      </c>
      <c r="M153" s="7" t="s">
        <v>263</v>
      </c>
      <c r="N153" s="7" t="s">
        <v>704</v>
      </c>
      <c r="O153" s="7"/>
      <c r="P153" s="37"/>
      <c r="Q153" s="7"/>
    </row>
    <row r="154">
      <c r="A154" s="7">
        <v>149.0</v>
      </c>
      <c r="B154" s="7" t="s">
        <v>705</v>
      </c>
      <c r="C154" s="7" t="str">
        <f>IFERROR(__xludf.DUMMYFUNCTION("GOOGLETRANSLATE($B154, $A$2, $B$2)"),"9 days ago")</f>
        <v>9 days ago</v>
      </c>
      <c r="D154" s="7" t="s">
        <v>706</v>
      </c>
      <c r="E154" s="7" t="s">
        <v>408</v>
      </c>
      <c r="F154" s="7" t="s">
        <v>707</v>
      </c>
      <c r="G154" s="7" t="s">
        <v>260</v>
      </c>
      <c r="H154" s="7" t="s">
        <v>261</v>
      </c>
      <c r="I154" s="7" t="s">
        <v>261</v>
      </c>
      <c r="J154" s="7" t="str">
        <f>IFERROR(__xludf.DUMMYFUNCTION("GOOGLETRANSLATE($I154, ""de"", ""en"")"),"NO SALARY DATA")</f>
        <v>NO SALARY DATA</v>
      </c>
      <c r="K154" s="7" t="s">
        <v>261</v>
      </c>
      <c r="L154" s="7" t="s">
        <v>327</v>
      </c>
      <c r="M154" s="7" t="s">
        <v>263</v>
      </c>
      <c r="N154" s="7" t="s">
        <v>260</v>
      </c>
      <c r="O154" s="7"/>
      <c r="P154" s="35"/>
      <c r="Q154" s="7"/>
    </row>
    <row r="155">
      <c r="A155" s="7">
        <v>150.0</v>
      </c>
      <c r="B155" s="7" t="s">
        <v>371</v>
      </c>
      <c r="C155" s="7" t="str">
        <f>IFERROR(__xludf.DUMMYFUNCTION("GOOGLETRANSLATE($B155, $A$2, $B$2)"),"Straight")</f>
        <v>Straight</v>
      </c>
      <c r="D155" s="7" t="s">
        <v>708</v>
      </c>
      <c r="E155" s="7" t="s">
        <v>709</v>
      </c>
      <c r="F155" s="7" t="s">
        <v>710</v>
      </c>
      <c r="G155" s="7" t="s">
        <v>260</v>
      </c>
      <c r="H155" s="7" t="s">
        <v>261</v>
      </c>
      <c r="I155" s="7" t="s">
        <v>261</v>
      </c>
      <c r="J155" s="7" t="str">
        <f>IFERROR(__xludf.DUMMYFUNCTION("GOOGLETRANSLATE($I155, ""de"", ""en"")"),"NO SALARY DATA")</f>
        <v>NO SALARY DATA</v>
      </c>
      <c r="K155" s="7" t="s">
        <v>261</v>
      </c>
      <c r="L155" s="7" t="s">
        <v>711</v>
      </c>
      <c r="M155" s="7" t="s">
        <v>322</v>
      </c>
      <c r="N155" s="7" t="s">
        <v>399</v>
      </c>
      <c r="O155" s="7"/>
      <c r="P155" s="35"/>
      <c r="Q155" s="7"/>
    </row>
    <row r="156">
      <c r="A156" s="7">
        <v>151.0</v>
      </c>
      <c r="B156" s="7" t="s">
        <v>265</v>
      </c>
      <c r="C156" s="7" t="str">
        <f>IFERROR(__xludf.DUMMYFUNCTION("GOOGLETRANSLATE($B156, $A$2, $B$2)"),"More than 30 days ago")</f>
        <v>More than 30 days ago</v>
      </c>
      <c r="D156" s="7" t="s">
        <v>712</v>
      </c>
      <c r="E156" s="7" t="s">
        <v>713</v>
      </c>
      <c r="F156" s="7" t="s">
        <v>714</v>
      </c>
      <c r="G156" s="7" t="s">
        <v>260</v>
      </c>
      <c r="H156" s="7" t="s">
        <v>261</v>
      </c>
      <c r="I156" s="7" t="s">
        <v>261</v>
      </c>
      <c r="J156" s="7" t="str">
        <f>IFERROR(__xludf.DUMMYFUNCTION("GOOGLETRANSLATE($I156, ""de"", ""en"")"),"NO SALARY DATA")</f>
        <v>NO SALARY DATA</v>
      </c>
      <c r="K156" s="7" t="s">
        <v>261</v>
      </c>
      <c r="L156" s="7" t="s">
        <v>327</v>
      </c>
      <c r="M156" s="7" t="s">
        <v>263</v>
      </c>
      <c r="N156" s="7" t="s">
        <v>507</v>
      </c>
      <c r="O156" s="7"/>
      <c r="P156" s="37"/>
      <c r="Q156" s="7"/>
    </row>
    <row r="157">
      <c r="A157" s="7">
        <v>152.0</v>
      </c>
      <c r="B157" s="7" t="s">
        <v>292</v>
      </c>
      <c r="C157" s="7" t="str">
        <f>IFERROR(__xludf.DUMMYFUNCTION("GOOGLETRANSLATE($B157, $A$2, $B$2)"),"1 day ago")</f>
        <v>1 day ago</v>
      </c>
      <c r="D157" s="7" t="s">
        <v>715</v>
      </c>
      <c r="E157" s="7" t="s">
        <v>348</v>
      </c>
      <c r="F157" s="7" t="s">
        <v>716</v>
      </c>
      <c r="G157" s="7" t="s">
        <v>260</v>
      </c>
      <c r="H157" s="7" t="s">
        <v>261</v>
      </c>
      <c r="I157" s="7" t="s">
        <v>261</v>
      </c>
      <c r="J157" s="7" t="str">
        <f>IFERROR(__xludf.DUMMYFUNCTION("GOOGLETRANSLATE($I157, ""de"", ""en"")"),"NO SALARY DATA")</f>
        <v>NO SALARY DATA</v>
      </c>
      <c r="K157" s="7" t="s">
        <v>261</v>
      </c>
      <c r="L157" s="7" t="s">
        <v>423</v>
      </c>
      <c r="M157" s="7" t="s">
        <v>263</v>
      </c>
      <c r="N157" s="7" t="s">
        <v>260</v>
      </c>
      <c r="O157" s="7"/>
      <c r="P157" s="37"/>
      <c r="Q157" s="7"/>
    </row>
    <row r="158">
      <c r="A158" s="7">
        <v>153.0</v>
      </c>
      <c r="B158" s="7" t="s">
        <v>265</v>
      </c>
      <c r="C158" s="7" t="str">
        <f>IFERROR(__xludf.DUMMYFUNCTION("GOOGLETRANSLATE($B158, $A$2, $B$2)"),"More than 30 days ago")</f>
        <v>More than 30 days ago</v>
      </c>
      <c r="D158" s="7" t="s">
        <v>717</v>
      </c>
      <c r="E158" s="7" t="s">
        <v>258</v>
      </c>
      <c r="F158" s="7" t="s">
        <v>718</v>
      </c>
      <c r="G158" s="7" t="s">
        <v>260</v>
      </c>
      <c r="H158" s="7" t="s">
        <v>261</v>
      </c>
      <c r="I158" s="7" t="s">
        <v>261</v>
      </c>
      <c r="J158" s="7" t="str">
        <f>IFERROR(__xludf.DUMMYFUNCTION("GOOGLETRANSLATE($I158, ""de"", ""en"")"),"NO SALARY DATA")</f>
        <v>NO SALARY DATA</v>
      </c>
      <c r="K158" s="7" t="s">
        <v>261</v>
      </c>
      <c r="L158" s="7" t="s">
        <v>551</v>
      </c>
      <c r="M158" s="7" t="s">
        <v>263</v>
      </c>
      <c r="N158" s="7" t="s">
        <v>260</v>
      </c>
      <c r="O158" s="7"/>
      <c r="P158" s="37"/>
      <c r="Q158" s="7"/>
    </row>
    <row r="159">
      <c r="A159" s="7">
        <v>154.0</v>
      </c>
      <c r="B159" s="7" t="s">
        <v>265</v>
      </c>
      <c r="C159" s="7" t="str">
        <f>IFERROR(__xludf.DUMMYFUNCTION("GOOGLETRANSLATE($B159, $A$2, $B$2)"),"More than 30 days ago")</f>
        <v>More than 30 days ago</v>
      </c>
      <c r="D159" s="7" t="s">
        <v>719</v>
      </c>
      <c r="E159" s="7" t="s">
        <v>548</v>
      </c>
      <c r="F159" s="7" t="s">
        <v>720</v>
      </c>
      <c r="G159" s="7" t="s">
        <v>260</v>
      </c>
      <c r="H159" s="7" t="s">
        <v>261</v>
      </c>
      <c r="I159" s="7" t="s">
        <v>261</v>
      </c>
      <c r="J159" s="7" t="str">
        <f>IFERROR(__xludf.DUMMYFUNCTION("GOOGLETRANSLATE($I159, ""de"", ""en"")"),"NO SALARY DATA")</f>
        <v>NO SALARY DATA</v>
      </c>
      <c r="K159" s="7" t="s">
        <v>261</v>
      </c>
      <c r="L159" s="7" t="s">
        <v>721</v>
      </c>
      <c r="M159" s="7" t="s">
        <v>263</v>
      </c>
      <c r="N159" s="7" t="s">
        <v>260</v>
      </c>
      <c r="O159" s="7"/>
      <c r="P159" s="37"/>
      <c r="Q159" s="7"/>
    </row>
    <row r="160">
      <c r="A160" s="7">
        <v>155.0</v>
      </c>
      <c r="B160" s="7" t="s">
        <v>292</v>
      </c>
      <c r="C160" s="7" t="str">
        <f>IFERROR(__xludf.DUMMYFUNCTION("GOOGLETRANSLATE($B160, $A$2, $B$2)"),"1 day ago")</f>
        <v>1 day ago</v>
      </c>
      <c r="D160" s="7" t="s">
        <v>668</v>
      </c>
      <c r="E160" s="7" t="s">
        <v>258</v>
      </c>
      <c r="F160" s="7" t="s">
        <v>722</v>
      </c>
      <c r="G160" s="7" t="s">
        <v>260</v>
      </c>
      <c r="H160" s="7" t="s">
        <v>261</v>
      </c>
      <c r="I160" s="7" t="s">
        <v>261</v>
      </c>
      <c r="J160" s="7" t="str">
        <f>IFERROR(__xludf.DUMMYFUNCTION("GOOGLETRANSLATE($I160, ""de"", ""en"")"),"NO SALARY DATA")</f>
        <v>NO SALARY DATA</v>
      </c>
      <c r="K160" s="7" t="s">
        <v>261</v>
      </c>
      <c r="L160" s="7" t="s">
        <v>286</v>
      </c>
      <c r="M160" s="7" t="s">
        <v>263</v>
      </c>
      <c r="N160" s="7" t="s">
        <v>260</v>
      </c>
      <c r="O160" s="7"/>
      <c r="P160" s="35"/>
      <c r="Q160" s="7"/>
    </row>
    <row r="161">
      <c r="A161" s="7">
        <v>156.0</v>
      </c>
      <c r="B161" s="7" t="s">
        <v>265</v>
      </c>
      <c r="C161" s="7" t="str">
        <f>IFERROR(__xludf.DUMMYFUNCTION("GOOGLETRANSLATE($B161, $A$2, $B$2)"),"More than 30 days ago")</f>
        <v>More than 30 days ago</v>
      </c>
      <c r="D161" s="7" t="s">
        <v>723</v>
      </c>
      <c r="E161" s="7" t="s">
        <v>258</v>
      </c>
      <c r="F161" s="7" t="s">
        <v>724</v>
      </c>
      <c r="G161" s="7" t="s">
        <v>260</v>
      </c>
      <c r="H161" s="7" t="s">
        <v>261</v>
      </c>
      <c r="I161" s="7" t="s">
        <v>261</v>
      </c>
      <c r="J161" s="7" t="str">
        <f>IFERROR(__xludf.DUMMYFUNCTION("GOOGLETRANSLATE($I161, ""de"", ""en"")"),"NO SALARY DATA")</f>
        <v>NO SALARY DATA</v>
      </c>
      <c r="K161" s="7" t="s">
        <v>261</v>
      </c>
      <c r="L161" s="7" t="s">
        <v>318</v>
      </c>
      <c r="M161" s="7" t="s">
        <v>263</v>
      </c>
      <c r="N161" s="7" t="s">
        <v>725</v>
      </c>
      <c r="O161" s="7"/>
      <c r="P161" s="35"/>
      <c r="Q161" s="7"/>
    </row>
    <row r="162">
      <c r="A162" s="7">
        <v>157.0</v>
      </c>
      <c r="B162" s="7" t="s">
        <v>269</v>
      </c>
      <c r="C162" s="7" t="str">
        <f>IFERROR(__xludf.DUMMYFUNCTION("GOOGLETRANSLATE($B162, $A$2, $B$2)"),"5 days ago")</f>
        <v>5 days ago</v>
      </c>
      <c r="D162" s="7" t="s">
        <v>726</v>
      </c>
      <c r="E162" s="7" t="s">
        <v>348</v>
      </c>
      <c r="F162" s="7" t="s">
        <v>727</v>
      </c>
      <c r="G162" s="7" t="s">
        <v>260</v>
      </c>
      <c r="H162" s="7" t="s">
        <v>261</v>
      </c>
      <c r="I162" s="7" t="s">
        <v>261</v>
      </c>
      <c r="J162" s="7" t="str">
        <f>IFERROR(__xludf.DUMMYFUNCTION("GOOGLETRANSLATE($I162, ""de"", ""en"")"),"NO SALARY DATA")</f>
        <v>NO SALARY DATA</v>
      </c>
      <c r="K162" s="7" t="s">
        <v>261</v>
      </c>
      <c r="L162" s="7" t="s">
        <v>728</v>
      </c>
      <c r="M162" s="7" t="s">
        <v>263</v>
      </c>
      <c r="N162" s="7" t="s">
        <v>275</v>
      </c>
      <c r="O162" s="7"/>
      <c r="P162" s="37"/>
      <c r="Q162" s="7"/>
    </row>
    <row r="163">
      <c r="A163" s="7">
        <v>158.0</v>
      </c>
      <c r="B163" s="7" t="s">
        <v>265</v>
      </c>
      <c r="C163" s="7" t="str">
        <f>IFERROR(__xludf.DUMMYFUNCTION("GOOGLETRANSLATE($B163, $A$2, $B$2)"),"More than 30 days ago")</f>
        <v>More than 30 days ago</v>
      </c>
      <c r="D163" s="7" t="s">
        <v>729</v>
      </c>
      <c r="E163" s="7" t="s">
        <v>348</v>
      </c>
      <c r="F163" s="7" t="s">
        <v>730</v>
      </c>
      <c r="G163" s="7" t="s">
        <v>260</v>
      </c>
      <c r="H163" s="7" t="s">
        <v>261</v>
      </c>
      <c r="I163" s="7" t="s">
        <v>261</v>
      </c>
      <c r="J163" s="7" t="str">
        <f>IFERROR(__xludf.DUMMYFUNCTION("GOOGLETRANSLATE($I163, ""de"", ""en"")"),"NO SALARY DATA")</f>
        <v>NO SALARY DATA</v>
      </c>
      <c r="K163" s="7" t="s">
        <v>261</v>
      </c>
      <c r="L163" s="7" t="s">
        <v>425</v>
      </c>
      <c r="M163" s="7" t="s">
        <v>263</v>
      </c>
      <c r="N163" s="7" t="s">
        <v>260</v>
      </c>
      <c r="O163" s="7"/>
      <c r="P163" s="35"/>
      <c r="Q163" s="7"/>
    </row>
    <row r="164">
      <c r="A164" s="7">
        <v>159.0</v>
      </c>
      <c r="B164" s="7" t="s">
        <v>559</v>
      </c>
      <c r="C164" s="7" t="str">
        <f>IFERROR(__xludf.DUMMYFUNCTION("GOOGLETRANSLATE($B164, $A$2, $B$2)"),"18 days ago")</f>
        <v>18 days ago</v>
      </c>
      <c r="D164" s="7" t="s">
        <v>731</v>
      </c>
      <c r="E164" s="7" t="s">
        <v>258</v>
      </c>
      <c r="F164" s="7" t="s">
        <v>338</v>
      </c>
      <c r="G164" s="7" t="s">
        <v>260</v>
      </c>
      <c r="H164" s="7" t="s">
        <v>261</v>
      </c>
      <c r="I164" s="7" t="s">
        <v>261</v>
      </c>
      <c r="J164" s="7" t="str">
        <f>IFERROR(__xludf.DUMMYFUNCTION("GOOGLETRANSLATE($I164, ""de"", ""en"")"),"NO SALARY DATA")</f>
        <v>NO SALARY DATA</v>
      </c>
      <c r="K164" s="7" t="s">
        <v>261</v>
      </c>
      <c r="L164" s="7" t="s">
        <v>374</v>
      </c>
      <c r="M164" s="7" t="s">
        <v>263</v>
      </c>
      <c r="N164" s="7" t="s">
        <v>340</v>
      </c>
      <c r="O164" s="7"/>
      <c r="P164" s="35"/>
      <c r="Q164" s="7"/>
    </row>
    <row r="165">
      <c r="A165" s="7">
        <v>160.0</v>
      </c>
      <c r="B165" s="7" t="s">
        <v>265</v>
      </c>
      <c r="C165" s="7" t="str">
        <f>IFERROR(__xludf.DUMMYFUNCTION("GOOGLETRANSLATE($B165, $A$2, $B$2)"),"More than 30 days ago")</f>
        <v>More than 30 days ago</v>
      </c>
      <c r="D165" s="7" t="s">
        <v>732</v>
      </c>
      <c r="E165" s="7" t="s">
        <v>271</v>
      </c>
      <c r="F165" s="7" t="s">
        <v>397</v>
      </c>
      <c r="G165" s="7" t="s">
        <v>260</v>
      </c>
      <c r="H165" s="7" t="s">
        <v>261</v>
      </c>
      <c r="I165" s="7" t="s">
        <v>261</v>
      </c>
      <c r="J165" s="7" t="str">
        <f>IFERROR(__xludf.DUMMYFUNCTION("GOOGLETRANSLATE($I165, ""de"", ""en"")"),"NO SALARY DATA")</f>
        <v>NO SALARY DATA</v>
      </c>
      <c r="K165" s="7" t="s">
        <v>261</v>
      </c>
      <c r="L165" s="7" t="s">
        <v>733</v>
      </c>
      <c r="M165" s="7" t="s">
        <v>263</v>
      </c>
      <c r="N165" s="7" t="s">
        <v>399</v>
      </c>
      <c r="O165" s="7"/>
      <c r="P165" s="37"/>
      <c r="Q165" s="7"/>
    </row>
    <row r="166">
      <c r="A166" s="7">
        <v>161.0</v>
      </c>
      <c r="B166" s="7" t="s">
        <v>302</v>
      </c>
      <c r="C166" s="7" t="str">
        <f>IFERROR(__xludf.DUMMYFUNCTION("GOOGLETRANSLATE($B166, $A$2, $B$2)"),"today")</f>
        <v>today</v>
      </c>
      <c r="D166" s="7" t="s">
        <v>734</v>
      </c>
      <c r="E166" s="7" t="s">
        <v>735</v>
      </c>
      <c r="F166" s="7" t="s">
        <v>736</v>
      </c>
      <c r="G166" s="7" t="s">
        <v>260</v>
      </c>
      <c r="H166" s="7" t="s">
        <v>261</v>
      </c>
      <c r="I166" s="7" t="s">
        <v>261</v>
      </c>
      <c r="J166" s="7" t="str">
        <f>IFERROR(__xludf.DUMMYFUNCTION("GOOGLETRANSLATE($I166, ""de"", ""en"")"),"NO SALARY DATA")</f>
        <v>NO SALARY DATA</v>
      </c>
      <c r="K166" s="7" t="s">
        <v>261</v>
      </c>
      <c r="L166" s="7" t="s">
        <v>374</v>
      </c>
      <c r="M166" s="7" t="s">
        <v>263</v>
      </c>
      <c r="N166" s="7" t="s">
        <v>260</v>
      </c>
      <c r="O166" s="7"/>
      <c r="P166" s="37"/>
      <c r="Q166" s="7"/>
    </row>
    <row r="167">
      <c r="A167" s="7">
        <v>162.0</v>
      </c>
      <c r="B167" s="7" t="s">
        <v>265</v>
      </c>
      <c r="C167" s="7" t="str">
        <f>IFERROR(__xludf.DUMMYFUNCTION("GOOGLETRANSLATE($B167, $A$2, $B$2)"),"More than 30 days ago")</f>
        <v>More than 30 days ago</v>
      </c>
      <c r="D167" s="7" t="s">
        <v>501</v>
      </c>
      <c r="E167" s="7" t="s">
        <v>401</v>
      </c>
      <c r="F167" s="7" t="s">
        <v>502</v>
      </c>
      <c r="G167" s="7" t="s">
        <v>260</v>
      </c>
      <c r="H167" s="7" t="s">
        <v>261</v>
      </c>
      <c r="I167" s="7" t="s">
        <v>261</v>
      </c>
      <c r="J167" s="7" t="str">
        <f>IFERROR(__xludf.DUMMYFUNCTION("GOOGLETRANSLATE($I167, ""de"", ""en"")"),"NO SALARY DATA")</f>
        <v>NO SALARY DATA</v>
      </c>
      <c r="K167" s="7" t="s">
        <v>261</v>
      </c>
      <c r="L167" s="7" t="s">
        <v>427</v>
      </c>
      <c r="M167" s="7" t="s">
        <v>263</v>
      </c>
      <c r="N167" s="7" t="s">
        <v>260</v>
      </c>
      <c r="O167" s="7"/>
      <c r="P167" s="35"/>
      <c r="Q167" s="7"/>
    </row>
    <row r="168">
      <c r="A168" s="7">
        <v>163.0</v>
      </c>
      <c r="B168" s="7" t="s">
        <v>375</v>
      </c>
      <c r="C168" s="7" t="str">
        <f>IFERROR(__xludf.DUMMYFUNCTION("GOOGLETRANSLATE($B168, $A$2, $B$2)"),"6 days ago")</f>
        <v>6 days ago</v>
      </c>
      <c r="D168" s="7" t="s">
        <v>737</v>
      </c>
      <c r="E168" s="7" t="s">
        <v>352</v>
      </c>
      <c r="F168" s="7" t="s">
        <v>738</v>
      </c>
      <c r="G168" s="7" t="s">
        <v>260</v>
      </c>
      <c r="H168" s="7" t="s">
        <v>261</v>
      </c>
      <c r="I168" s="7" t="s">
        <v>261</v>
      </c>
      <c r="J168" s="7" t="str">
        <f>IFERROR(__xludf.DUMMYFUNCTION("GOOGLETRANSLATE($I168, ""de"", ""en"")"),"NO SALARY DATA")</f>
        <v>NO SALARY DATA</v>
      </c>
      <c r="K168" s="7" t="s">
        <v>261</v>
      </c>
      <c r="L168" s="7" t="s">
        <v>423</v>
      </c>
      <c r="M168" s="7" t="s">
        <v>263</v>
      </c>
      <c r="N168" s="7" t="s">
        <v>301</v>
      </c>
      <c r="O168" s="7"/>
      <c r="P168" s="37"/>
      <c r="Q168" s="7"/>
    </row>
    <row r="169">
      <c r="A169" s="7">
        <v>164.0</v>
      </c>
      <c r="B169" s="7" t="s">
        <v>375</v>
      </c>
      <c r="C169" s="7" t="str">
        <f>IFERROR(__xludf.DUMMYFUNCTION("GOOGLETRANSLATE($B169, $A$2, $B$2)"),"6 days ago")</f>
        <v>6 days ago</v>
      </c>
      <c r="D169" s="7" t="s">
        <v>739</v>
      </c>
      <c r="E169" s="7" t="s">
        <v>401</v>
      </c>
      <c r="F169" s="7" t="s">
        <v>740</v>
      </c>
      <c r="G169" s="7" t="s">
        <v>260</v>
      </c>
      <c r="H169" s="7" t="s">
        <v>261</v>
      </c>
      <c r="I169" s="7" t="s">
        <v>261</v>
      </c>
      <c r="J169" s="7" t="str">
        <f>IFERROR(__xludf.DUMMYFUNCTION("GOOGLETRANSLATE($I169, ""de"", ""en"")"),"NO SALARY DATA")</f>
        <v>NO SALARY DATA</v>
      </c>
      <c r="K169" s="7" t="s">
        <v>261</v>
      </c>
      <c r="L169" s="7" t="s">
        <v>433</v>
      </c>
      <c r="M169" s="7" t="s">
        <v>263</v>
      </c>
      <c r="N169" s="7" t="s">
        <v>260</v>
      </c>
      <c r="O169" s="7"/>
      <c r="P169" s="37"/>
      <c r="Q169" s="7"/>
    </row>
    <row r="170">
      <c r="A170" s="7">
        <v>165.0</v>
      </c>
      <c r="B170" s="7" t="s">
        <v>533</v>
      </c>
      <c r="C170" s="7" t="str">
        <f>IFERROR(__xludf.DUMMYFUNCTION("GOOGLETRANSLATE($B170, $A$2, $B$2)"),"11 days ago")</f>
        <v>11 days ago</v>
      </c>
      <c r="D170" s="7" t="s">
        <v>741</v>
      </c>
      <c r="E170" s="7" t="s">
        <v>742</v>
      </c>
      <c r="F170" s="7" t="s">
        <v>743</v>
      </c>
      <c r="G170" s="7" t="s">
        <v>260</v>
      </c>
      <c r="H170" s="7" t="s">
        <v>261</v>
      </c>
      <c r="I170" s="7" t="s">
        <v>261</v>
      </c>
      <c r="J170" s="7" t="str">
        <f>IFERROR(__xludf.DUMMYFUNCTION("GOOGLETRANSLATE($I170, ""de"", ""en"")"),"NO SALARY DATA")</f>
        <v>NO SALARY DATA</v>
      </c>
      <c r="K170" s="7" t="s">
        <v>261</v>
      </c>
      <c r="L170" s="7" t="s">
        <v>660</v>
      </c>
      <c r="M170" s="7" t="s">
        <v>263</v>
      </c>
      <c r="N170" s="7" t="s">
        <v>260</v>
      </c>
      <c r="O170" s="7"/>
      <c r="P170" s="35"/>
      <c r="Q170" s="7"/>
    </row>
    <row r="171">
      <c r="A171" s="7">
        <v>166.0</v>
      </c>
      <c r="B171" s="7" t="s">
        <v>265</v>
      </c>
      <c r="C171" s="7" t="str">
        <f>IFERROR(__xludf.DUMMYFUNCTION("GOOGLETRANSLATE($B171, $A$2, $B$2)"),"More than 30 days ago")</f>
        <v>More than 30 days ago</v>
      </c>
      <c r="D171" s="7" t="s">
        <v>744</v>
      </c>
      <c r="E171" s="7" t="s">
        <v>271</v>
      </c>
      <c r="F171" s="7" t="s">
        <v>745</v>
      </c>
      <c r="G171" s="7" t="s">
        <v>260</v>
      </c>
      <c r="H171" s="7" t="s">
        <v>261</v>
      </c>
      <c r="I171" s="7" t="s">
        <v>261</v>
      </c>
      <c r="J171" s="7" t="str">
        <f>IFERROR(__xludf.DUMMYFUNCTION("GOOGLETRANSLATE($I171, ""de"", ""en"")"),"NO SALARY DATA")</f>
        <v>NO SALARY DATA</v>
      </c>
      <c r="K171" s="7" t="s">
        <v>261</v>
      </c>
      <c r="L171" s="7" t="s">
        <v>746</v>
      </c>
      <c r="M171" s="7" t="s">
        <v>263</v>
      </c>
      <c r="N171" s="7" t="s">
        <v>323</v>
      </c>
      <c r="O171" s="7"/>
      <c r="P171" s="35"/>
      <c r="Q171" s="7"/>
    </row>
    <row r="172">
      <c r="A172" s="7">
        <v>167.0</v>
      </c>
      <c r="B172" s="7" t="s">
        <v>288</v>
      </c>
      <c r="C172" s="7" t="str">
        <f>IFERROR(__xludf.DUMMYFUNCTION("GOOGLETRANSLATE($B172, $A$2, $B$2)"),"2 days ago")</f>
        <v>2 days ago</v>
      </c>
      <c r="D172" s="7" t="s">
        <v>747</v>
      </c>
      <c r="E172" s="7" t="s">
        <v>298</v>
      </c>
      <c r="F172" s="7" t="s">
        <v>748</v>
      </c>
      <c r="G172" s="7" t="s">
        <v>260</v>
      </c>
      <c r="H172" s="7" t="s">
        <v>261</v>
      </c>
      <c r="I172" s="7" t="s">
        <v>261</v>
      </c>
      <c r="J172" s="7" t="str">
        <f>IFERROR(__xludf.DUMMYFUNCTION("GOOGLETRANSLATE($I172, ""de"", ""en"")"),"NO SALARY DATA")</f>
        <v>NO SALARY DATA</v>
      </c>
      <c r="K172" s="7" t="s">
        <v>261</v>
      </c>
      <c r="L172" s="7" t="s">
        <v>300</v>
      </c>
      <c r="M172" s="7" t="s">
        <v>414</v>
      </c>
      <c r="N172" s="7" t="s">
        <v>301</v>
      </c>
      <c r="O172" s="7"/>
      <c r="P172" s="37"/>
      <c r="Q172" s="7"/>
    </row>
    <row r="173">
      <c r="A173" s="7">
        <v>168.0</v>
      </c>
      <c r="B173" s="7" t="s">
        <v>705</v>
      </c>
      <c r="C173" s="7" t="str">
        <f>IFERROR(__xludf.DUMMYFUNCTION("GOOGLETRANSLATE($B173, $A$2, $B$2)"),"9 days ago")</f>
        <v>9 days ago</v>
      </c>
      <c r="D173" s="7" t="s">
        <v>749</v>
      </c>
      <c r="E173" s="7" t="s">
        <v>408</v>
      </c>
      <c r="F173" s="7" t="s">
        <v>750</v>
      </c>
      <c r="G173" s="7" t="s">
        <v>260</v>
      </c>
      <c r="H173" s="7" t="s">
        <v>261</v>
      </c>
      <c r="I173" s="7" t="s">
        <v>261</v>
      </c>
      <c r="J173" s="7" t="str">
        <f>IFERROR(__xludf.DUMMYFUNCTION("GOOGLETRANSLATE($I173, ""de"", ""en"")"),"NO SALARY DATA")</f>
        <v>NO SALARY DATA</v>
      </c>
      <c r="K173" s="7" t="s">
        <v>261</v>
      </c>
      <c r="L173" s="7" t="s">
        <v>398</v>
      </c>
      <c r="M173" s="7" t="s">
        <v>414</v>
      </c>
      <c r="N173" s="7" t="s">
        <v>260</v>
      </c>
      <c r="O173" s="7"/>
      <c r="P173" s="37"/>
      <c r="Q173" s="7"/>
    </row>
    <row r="174">
      <c r="A174" s="7">
        <v>169.0</v>
      </c>
      <c r="B174" s="7" t="s">
        <v>265</v>
      </c>
      <c r="C174" s="7" t="str">
        <f>IFERROR(__xludf.DUMMYFUNCTION("GOOGLETRANSLATE($B174, $A$2, $B$2)"),"More than 30 days ago")</f>
        <v>More than 30 days ago</v>
      </c>
      <c r="D174" s="7" t="s">
        <v>751</v>
      </c>
      <c r="E174" s="7" t="s">
        <v>258</v>
      </c>
      <c r="F174" s="7" t="s">
        <v>311</v>
      </c>
      <c r="G174" s="7" t="s">
        <v>260</v>
      </c>
      <c r="H174" s="7" t="s">
        <v>261</v>
      </c>
      <c r="I174" s="7" t="s">
        <v>261</v>
      </c>
      <c r="J174" s="7" t="str">
        <f>IFERROR(__xludf.DUMMYFUNCTION("GOOGLETRANSLATE($I174, ""de"", ""en"")"),"NO SALARY DATA")</f>
        <v>NO SALARY DATA</v>
      </c>
      <c r="K174" s="7" t="s">
        <v>261</v>
      </c>
      <c r="L174" s="7" t="s">
        <v>752</v>
      </c>
      <c r="M174" s="7" t="s">
        <v>263</v>
      </c>
      <c r="N174" s="7" t="s">
        <v>260</v>
      </c>
      <c r="O174" s="7"/>
      <c r="P174" s="37"/>
      <c r="Q174" s="7"/>
    </row>
    <row r="175">
      <c r="A175" s="7">
        <v>170.0</v>
      </c>
      <c r="B175" s="7" t="s">
        <v>292</v>
      </c>
      <c r="C175" s="7" t="str">
        <f>IFERROR(__xludf.DUMMYFUNCTION("GOOGLETRANSLATE($B175, $A$2, $B$2)"),"1 day ago")</f>
        <v>1 day ago</v>
      </c>
      <c r="D175" s="7" t="s">
        <v>753</v>
      </c>
      <c r="E175" s="7" t="s">
        <v>258</v>
      </c>
      <c r="F175" s="7" t="s">
        <v>754</v>
      </c>
      <c r="G175" s="7" t="s">
        <v>260</v>
      </c>
      <c r="H175" s="7" t="s">
        <v>261</v>
      </c>
      <c r="I175" s="7" t="s">
        <v>261</v>
      </c>
      <c r="J175" s="7" t="str">
        <f>IFERROR(__xludf.DUMMYFUNCTION("GOOGLETRANSLATE($I175, ""de"", ""en"")"),"NO SALARY DATA")</f>
        <v>NO SALARY DATA</v>
      </c>
      <c r="K175" s="7" t="s">
        <v>261</v>
      </c>
      <c r="L175" s="7" t="s">
        <v>370</v>
      </c>
      <c r="M175" s="7" t="s">
        <v>263</v>
      </c>
      <c r="N175" s="7" t="s">
        <v>260</v>
      </c>
      <c r="O175" s="7"/>
      <c r="P175" s="37"/>
      <c r="Q175" s="7"/>
    </row>
    <row r="176">
      <c r="A176" s="7">
        <v>171.0</v>
      </c>
      <c r="B176" s="7" t="s">
        <v>324</v>
      </c>
      <c r="C176" s="7" t="str">
        <f>IFERROR(__xludf.DUMMYFUNCTION("GOOGLETRANSLATE($B176, $A$2, $B$2)"),"3 days ago")</f>
        <v>3 days ago</v>
      </c>
      <c r="D176" s="7" t="s">
        <v>706</v>
      </c>
      <c r="E176" s="7" t="s">
        <v>258</v>
      </c>
      <c r="F176" s="7" t="s">
        <v>755</v>
      </c>
      <c r="G176" s="7" t="s">
        <v>260</v>
      </c>
      <c r="H176" s="7" t="s">
        <v>261</v>
      </c>
      <c r="I176" s="7" t="s">
        <v>261</v>
      </c>
      <c r="J176" s="7" t="str">
        <f>IFERROR(__xludf.DUMMYFUNCTION("GOOGLETRANSLATE($I176, ""de"", ""en"")"),"NO SALARY DATA")</f>
        <v>NO SALARY DATA</v>
      </c>
      <c r="K176" s="7" t="s">
        <v>261</v>
      </c>
      <c r="L176" s="7" t="s">
        <v>756</v>
      </c>
      <c r="M176" s="7" t="s">
        <v>263</v>
      </c>
      <c r="N176" s="7" t="s">
        <v>260</v>
      </c>
      <c r="O176" s="7"/>
      <c r="P176" s="35"/>
      <c r="Q176" s="7"/>
    </row>
    <row r="177">
      <c r="A177" s="7">
        <v>172.0</v>
      </c>
      <c r="B177" s="7" t="s">
        <v>269</v>
      </c>
      <c r="C177" s="7" t="str">
        <f>IFERROR(__xludf.DUMMYFUNCTION("GOOGLETRANSLATE($B177, $A$2, $B$2)"),"5 days ago")</f>
        <v>5 days ago</v>
      </c>
      <c r="D177" s="7" t="s">
        <v>726</v>
      </c>
      <c r="E177" s="7" t="s">
        <v>348</v>
      </c>
      <c r="F177" s="7" t="s">
        <v>727</v>
      </c>
      <c r="G177" s="7" t="s">
        <v>260</v>
      </c>
      <c r="H177" s="7" t="s">
        <v>261</v>
      </c>
      <c r="I177" s="7" t="s">
        <v>261</v>
      </c>
      <c r="J177" s="7" t="str">
        <f>IFERROR(__xludf.DUMMYFUNCTION("GOOGLETRANSLATE($I177, ""de"", ""en"")"),"NO SALARY DATA")</f>
        <v>NO SALARY DATA</v>
      </c>
      <c r="K177" s="7" t="s">
        <v>261</v>
      </c>
      <c r="L177" s="7" t="s">
        <v>728</v>
      </c>
      <c r="M177" s="7" t="s">
        <v>263</v>
      </c>
      <c r="N177" s="7" t="s">
        <v>275</v>
      </c>
      <c r="O177" s="7"/>
      <c r="P177" s="37"/>
      <c r="Q177" s="7"/>
    </row>
    <row r="178">
      <c r="A178" s="7">
        <v>173.0</v>
      </c>
      <c r="B178" s="7" t="s">
        <v>292</v>
      </c>
      <c r="C178" s="7" t="str">
        <f>IFERROR(__xludf.DUMMYFUNCTION("GOOGLETRANSLATE($B178, $A$2, $B$2)"),"1 day ago")</f>
        <v>1 day ago</v>
      </c>
      <c r="D178" s="7" t="s">
        <v>757</v>
      </c>
      <c r="E178" s="7" t="s">
        <v>258</v>
      </c>
      <c r="F178" s="7" t="s">
        <v>758</v>
      </c>
      <c r="G178" s="7" t="s">
        <v>260</v>
      </c>
      <c r="H178" s="7" t="s">
        <v>261</v>
      </c>
      <c r="I178" s="7" t="s">
        <v>261</v>
      </c>
      <c r="J178" s="7" t="str">
        <f>IFERROR(__xludf.DUMMYFUNCTION("GOOGLETRANSLATE($I178, ""de"", ""en"")"),"NO SALARY DATA")</f>
        <v>NO SALARY DATA</v>
      </c>
      <c r="K178" s="7" t="s">
        <v>261</v>
      </c>
      <c r="L178" s="7" t="s">
        <v>318</v>
      </c>
      <c r="M178" s="7" t="s">
        <v>263</v>
      </c>
      <c r="N178" s="7" t="s">
        <v>260</v>
      </c>
      <c r="O178" s="7"/>
      <c r="P178" s="35"/>
      <c r="Q178" s="7"/>
    </row>
    <row r="179">
      <c r="A179" s="7">
        <v>174.0</v>
      </c>
      <c r="B179" s="7" t="s">
        <v>332</v>
      </c>
      <c r="C179" s="7" t="str">
        <f>IFERROR(__xludf.DUMMYFUNCTION("GOOGLETRANSLATE($B179, $A$2, $B$2)"),"4 days ago")</f>
        <v>4 days ago</v>
      </c>
      <c r="D179" s="7" t="s">
        <v>759</v>
      </c>
      <c r="E179" s="7" t="s">
        <v>271</v>
      </c>
      <c r="F179" s="7" t="s">
        <v>760</v>
      </c>
      <c r="G179" s="7" t="s">
        <v>260</v>
      </c>
      <c r="H179" s="7" t="s">
        <v>261</v>
      </c>
      <c r="I179" s="7" t="s">
        <v>261</v>
      </c>
      <c r="J179" s="7" t="str">
        <f>IFERROR(__xludf.DUMMYFUNCTION("GOOGLETRANSLATE($I179, ""de"", ""en"")"),"NO SALARY DATA")</f>
        <v>NO SALARY DATA</v>
      </c>
      <c r="K179" s="7" t="s">
        <v>261</v>
      </c>
      <c r="L179" s="7" t="s">
        <v>761</v>
      </c>
      <c r="M179" s="7" t="s">
        <v>263</v>
      </c>
      <c r="N179" s="7" t="s">
        <v>434</v>
      </c>
      <c r="O179" s="7"/>
      <c r="P179" s="35"/>
      <c r="Q179" s="7"/>
    </row>
    <row r="180">
      <c r="A180" s="7">
        <v>175.0</v>
      </c>
      <c r="B180" s="7" t="s">
        <v>508</v>
      </c>
      <c r="C180" s="7" t="str">
        <f>IFERROR(__xludf.DUMMYFUNCTION("GOOGLETRANSLATE($B180, $A$2, $B$2)"),"24 days ago")</f>
        <v>24 days ago</v>
      </c>
      <c r="D180" s="7" t="s">
        <v>762</v>
      </c>
      <c r="E180" s="7" t="s">
        <v>280</v>
      </c>
      <c r="F180" s="7" t="s">
        <v>763</v>
      </c>
      <c r="G180" s="7" t="s">
        <v>260</v>
      </c>
      <c r="H180" s="7" t="s">
        <v>261</v>
      </c>
      <c r="I180" s="7" t="s">
        <v>261</v>
      </c>
      <c r="J180" s="7" t="str">
        <f>IFERROR(__xludf.DUMMYFUNCTION("GOOGLETRANSLATE($I180, ""de"", ""en"")"),"NO SALARY DATA")</f>
        <v>NO SALARY DATA</v>
      </c>
      <c r="K180" s="7" t="s">
        <v>261</v>
      </c>
      <c r="L180" s="7" t="s">
        <v>327</v>
      </c>
      <c r="M180" s="7" t="s">
        <v>452</v>
      </c>
      <c r="N180" s="7" t="s">
        <v>434</v>
      </c>
      <c r="O180" s="7"/>
      <c r="P180" s="37"/>
      <c r="Q180" s="7"/>
    </row>
    <row r="181">
      <c r="A181" s="7">
        <v>176.0</v>
      </c>
      <c r="B181" s="7" t="s">
        <v>341</v>
      </c>
      <c r="C181" s="7" t="str">
        <f>IFERROR(__xludf.DUMMYFUNCTION("GOOGLETRANSLATE($B181, $A$2, $B$2)"),"before 14 days")</f>
        <v>before 14 days</v>
      </c>
      <c r="D181" s="7" t="s">
        <v>764</v>
      </c>
      <c r="E181" s="7" t="s">
        <v>280</v>
      </c>
      <c r="F181" s="7" t="s">
        <v>765</v>
      </c>
      <c r="G181" s="7" t="s">
        <v>260</v>
      </c>
      <c r="H181" s="7" t="s">
        <v>261</v>
      </c>
      <c r="I181" s="7" t="s">
        <v>261</v>
      </c>
      <c r="J181" s="7" t="str">
        <f>IFERROR(__xludf.DUMMYFUNCTION("GOOGLETRANSLATE($I181, ""de"", ""en"")"),"NO SALARY DATA")</f>
        <v>NO SALARY DATA</v>
      </c>
      <c r="K181" s="7" t="s">
        <v>261</v>
      </c>
      <c r="L181" s="7" t="s">
        <v>318</v>
      </c>
      <c r="M181" s="7" t="s">
        <v>263</v>
      </c>
      <c r="N181" s="7" t="s">
        <v>260</v>
      </c>
      <c r="O181" s="7"/>
      <c r="P181" s="35"/>
      <c r="Q181" s="7"/>
    </row>
    <row r="182">
      <c r="A182" s="7">
        <v>177.0</v>
      </c>
      <c r="B182" s="7" t="s">
        <v>265</v>
      </c>
      <c r="C182" s="7" t="str">
        <f>IFERROR(__xludf.DUMMYFUNCTION("GOOGLETRANSLATE($B182, $A$2, $B$2)"),"More than 30 days ago")</f>
        <v>More than 30 days ago</v>
      </c>
      <c r="D182" s="7" t="s">
        <v>766</v>
      </c>
      <c r="E182" s="7" t="s">
        <v>343</v>
      </c>
      <c r="F182" s="7" t="s">
        <v>767</v>
      </c>
      <c r="G182" s="7" t="s">
        <v>260</v>
      </c>
      <c r="H182" s="7" t="s">
        <v>261</v>
      </c>
      <c r="I182" s="7" t="s">
        <v>261</v>
      </c>
      <c r="J182" s="7" t="str">
        <f>IFERROR(__xludf.DUMMYFUNCTION("GOOGLETRANSLATE($I182, ""de"", ""en"")"),"NO SALARY DATA")</f>
        <v>NO SALARY DATA</v>
      </c>
      <c r="K182" s="7" t="s">
        <v>261</v>
      </c>
      <c r="L182" s="7" t="s">
        <v>490</v>
      </c>
      <c r="M182" s="7" t="s">
        <v>263</v>
      </c>
      <c r="N182" s="7" t="s">
        <v>486</v>
      </c>
      <c r="O182" s="7"/>
      <c r="P182" s="35"/>
      <c r="Q182" s="7"/>
    </row>
    <row r="183">
      <c r="A183" s="7">
        <v>178.0</v>
      </c>
      <c r="B183" s="7" t="s">
        <v>288</v>
      </c>
      <c r="C183" s="7" t="str">
        <f>IFERROR(__xludf.DUMMYFUNCTION("GOOGLETRANSLATE($B183, $A$2, $B$2)"),"2 days ago")</f>
        <v>2 days ago</v>
      </c>
      <c r="D183" s="7" t="s">
        <v>706</v>
      </c>
      <c r="E183" s="7" t="s">
        <v>298</v>
      </c>
      <c r="F183" s="7" t="s">
        <v>748</v>
      </c>
      <c r="G183" s="7" t="s">
        <v>260</v>
      </c>
      <c r="H183" s="7" t="s">
        <v>261</v>
      </c>
      <c r="I183" s="7" t="s">
        <v>261</v>
      </c>
      <c r="J183" s="7" t="str">
        <f>IFERROR(__xludf.DUMMYFUNCTION("GOOGLETRANSLATE($I183, ""de"", ""en"")"),"NO SALARY DATA")</f>
        <v>NO SALARY DATA</v>
      </c>
      <c r="K183" s="7" t="s">
        <v>261</v>
      </c>
      <c r="L183" s="7" t="s">
        <v>433</v>
      </c>
      <c r="M183" s="7" t="s">
        <v>414</v>
      </c>
      <c r="N183" s="7" t="s">
        <v>301</v>
      </c>
      <c r="O183" s="7"/>
      <c r="P183" s="35"/>
      <c r="Q183" s="7"/>
    </row>
    <row r="184">
      <c r="A184" s="7">
        <v>179.0</v>
      </c>
      <c r="B184" s="7" t="s">
        <v>324</v>
      </c>
      <c r="C184" s="7" t="str">
        <f>IFERROR(__xludf.DUMMYFUNCTION("GOOGLETRANSLATE($B184, $A$2, $B$2)"),"3 days ago")</f>
        <v>3 days ago</v>
      </c>
      <c r="D184" s="7" t="s">
        <v>768</v>
      </c>
      <c r="E184" s="7" t="s">
        <v>769</v>
      </c>
      <c r="F184" s="7" t="s">
        <v>770</v>
      </c>
      <c r="G184" s="7" t="s">
        <v>260</v>
      </c>
      <c r="H184" s="7" t="s">
        <v>261</v>
      </c>
      <c r="I184" s="7" t="s">
        <v>261</v>
      </c>
      <c r="J184" s="7" t="str">
        <f>IFERROR(__xludf.DUMMYFUNCTION("GOOGLETRANSLATE($I184, ""de"", ""en"")"),"NO SALARY DATA")</f>
        <v>NO SALARY DATA</v>
      </c>
      <c r="K184" s="7" t="s">
        <v>261</v>
      </c>
      <c r="L184" s="7" t="s">
        <v>312</v>
      </c>
      <c r="M184" s="7" t="s">
        <v>263</v>
      </c>
      <c r="N184" s="7" t="s">
        <v>301</v>
      </c>
      <c r="O184" s="7"/>
      <c r="P184" s="37"/>
      <c r="Q184" s="7"/>
    </row>
    <row r="185">
      <c r="A185" s="7">
        <v>180.0</v>
      </c>
      <c r="B185" s="7" t="s">
        <v>265</v>
      </c>
      <c r="C185" s="7" t="str">
        <f>IFERROR(__xludf.DUMMYFUNCTION("GOOGLETRANSLATE($B185, $A$2, $B$2)"),"More than 30 days ago")</f>
        <v>More than 30 days ago</v>
      </c>
      <c r="D185" s="7" t="s">
        <v>771</v>
      </c>
      <c r="E185" s="7" t="s">
        <v>258</v>
      </c>
      <c r="F185" s="7" t="s">
        <v>772</v>
      </c>
      <c r="G185" s="7" t="s">
        <v>260</v>
      </c>
      <c r="H185" s="7" t="s">
        <v>261</v>
      </c>
      <c r="I185" s="7" t="s">
        <v>261</v>
      </c>
      <c r="J185" s="7" t="str">
        <f>IFERROR(__xludf.DUMMYFUNCTION("GOOGLETRANSLATE($I185, ""de"", ""en"")"),"NO SALARY DATA")</f>
        <v>NO SALARY DATA</v>
      </c>
      <c r="K185" s="7" t="s">
        <v>261</v>
      </c>
      <c r="L185" s="7" t="s">
        <v>773</v>
      </c>
      <c r="M185" s="7" t="s">
        <v>263</v>
      </c>
      <c r="N185" s="7" t="s">
        <v>260</v>
      </c>
      <c r="O185" s="7"/>
      <c r="P185" s="37"/>
      <c r="Q185" s="7"/>
    </row>
    <row r="186">
      <c r="A186" s="7">
        <v>181.0</v>
      </c>
      <c r="B186" s="7" t="s">
        <v>265</v>
      </c>
      <c r="C186" s="7" t="str">
        <f>IFERROR(__xludf.DUMMYFUNCTION("GOOGLETRANSLATE($B186, $A$2, $B$2)"),"More than 30 days ago")</f>
        <v>More than 30 days ago</v>
      </c>
      <c r="D186" s="7" t="s">
        <v>774</v>
      </c>
      <c r="E186" s="7" t="s">
        <v>775</v>
      </c>
      <c r="F186" s="7" t="s">
        <v>776</v>
      </c>
      <c r="G186" s="7" t="s">
        <v>260</v>
      </c>
      <c r="H186" s="7" t="s">
        <v>261</v>
      </c>
      <c r="I186" s="7" t="s">
        <v>261</v>
      </c>
      <c r="J186" s="7" t="str">
        <f>IFERROR(__xludf.DUMMYFUNCTION("GOOGLETRANSLATE($I186, ""de"", ""en"")"),"NO SALARY DATA")</f>
        <v>NO SALARY DATA</v>
      </c>
      <c r="K186" s="7" t="s">
        <v>261</v>
      </c>
      <c r="L186" s="7" t="s">
        <v>777</v>
      </c>
      <c r="M186" s="7" t="s">
        <v>263</v>
      </c>
      <c r="N186" s="7" t="s">
        <v>260</v>
      </c>
      <c r="O186" s="7"/>
      <c r="P186" s="37"/>
      <c r="Q186" s="7"/>
    </row>
    <row r="187">
      <c r="A187" s="7">
        <v>182.0</v>
      </c>
      <c r="B187" s="7" t="s">
        <v>332</v>
      </c>
      <c r="C187" s="7" t="str">
        <f>IFERROR(__xludf.DUMMYFUNCTION("GOOGLETRANSLATE($B187, $A$2, $B$2)"),"4 days ago")</f>
        <v>4 days ago</v>
      </c>
      <c r="D187" s="7" t="s">
        <v>778</v>
      </c>
      <c r="E187" s="7" t="s">
        <v>258</v>
      </c>
      <c r="F187" s="7" t="s">
        <v>684</v>
      </c>
      <c r="G187" s="7" t="s">
        <v>260</v>
      </c>
      <c r="H187" s="7" t="s">
        <v>261</v>
      </c>
      <c r="I187" s="7" t="s">
        <v>261</v>
      </c>
      <c r="J187" s="7" t="str">
        <f>IFERROR(__xludf.DUMMYFUNCTION("GOOGLETRANSLATE($I187, ""de"", ""en"")"),"NO SALARY DATA")</f>
        <v>NO SALARY DATA</v>
      </c>
      <c r="K187" s="7" t="s">
        <v>261</v>
      </c>
      <c r="L187" s="7" t="s">
        <v>558</v>
      </c>
      <c r="M187" s="7" t="s">
        <v>414</v>
      </c>
      <c r="N187" s="7" t="s">
        <v>260</v>
      </c>
      <c r="O187" s="7"/>
      <c r="P187" s="37"/>
      <c r="Q187" s="7"/>
    </row>
    <row r="188">
      <c r="A188" s="7">
        <v>183.0</v>
      </c>
      <c r="B188" s="7" t="s">
        <v>559</v>
      </c>
      <c r="C188" s="7" t="str">
        <f>IFERROR(__xludf.DUMMYFUNCTION("GOOGLETRANSLATE($B188, $A$2, $B$2)"),"18 days ago")</f>
        <v>18 days ago</v>
      </c>
      <c r="D188" s="7" t="s">
        <v>779</v>
      </c>
      <c r="E188" s="7" t="s">
        <v>483</v>
      </c>
      <c r="F188" s="7" t="s">
        <v>780</v>
      </c>
      <c r="G188" s="7" t="s">
        <v>260</v>
      </c>
      <c r="H188" s="7" t="s">
        <v>261</v>
      </c>
      <c r="I188" s="7" t="s">
        <v>261</v>
      </c>
      <c r="J188" s="7" t="str">
        <f>IFERROR(__xludf.DUMMYFUNCTION("GOOGLETRANSLATE($I188, ""de"", ""en"")"),"NO SALARY DATA")</f>
        <v>NO SALARY DATA</v>
      </c>
      <c r="K188" s="7" t="s">
        <v>261</v>
      </c>
      <c r="L188" s="7"/>
      <c r="M188" s="7" t="s">
        <v>263</v>
      </c>
      <c r="N188" s="7" t="s">
        <v>260</v>
      </c>
      <c r="O188" s="7"/>
      <c r="P188" s="35"/>
      <c r="Q188" s="7"/>
    </row>
    <row r="189">
      <c r="A189" s="7">
        <v>184.0</v>
      </c>
      <c r="B189" s="7" t="s">
        <v>265</v>
      </c>
      <c r="C189" s="7" t="str">
        <f>IFERROR(__xludf.DUMMYFUNCTION("GOOGLETRANSLATE($B189, $A$2, $B$2)"),"More than 30 days ago")</f>
        <v>More than 30 days ago</v>
      </c>
      <c r="D189" s="7" t="s">
        <v>781</v>
      </c>
      <c r="E189" s="7" t="s">
        <v>343</v>
      </c>
      <c r="F189" s="7" t="s">
        <v>506</v>
      </c>
      <c r="G189" s="7" t="s">
        <v>260</v>
      </c>
      <c r="H189" s="7" t="s">
        <v>261</v>
      </c>
      <c r="I189" s="7" t="s">
        <v>261</v>
      </c>
      <c r="J189" s="7" t="str">
        <f>IFERROR(__xludf.DUMMYFUNCTION("GOOGLETRANSLATE($I189, ""de"", ""en"")"),"NO SALARY DATA")</f>
        <v>NO SALARY DATA</v>
      </c>
      <c r="K189" s="7" t="s">
        <v>261</v>
      </c>
      <c r="L189" s="7" t="s">
        <v>782</v>
      </c>
      <c r="M189" s="7" t="s">
        <v>263</v>
      </c>
      <c r="N189" s="7" t="s">
        <v>507</v>
      </c>
      <c r="O189" s="7"/>
      <c r="P189" s="37"/>
      <c r="Q189" s="7"/>
    </row>
    <row r="190">
      <c r="A190" s="7">
        <v>185.0</v>
      </c>
      <c r="B190" s="7" t="s">
        <v>265</v>
      </c>
      <c r="C190" s="7" t="str">
        <f>IFERROR(__xludf.DUMMYFUNCTION("GOOGLETRANSLATE($B190, $A$2, $B$2)"),"More than 30 days ago")</f>
        <v>More than 30 days ago</v>
      </c>
      <c r="D190" s="7" t="s">
        <v>654</v>
      </c>
      <c r="E190" s="7" t="s">
        <v>271</v>
      </c>
      <c r="F190" s="7" t="s">
        <v>783</v>
      </c>
      <c r="G190" s="7" t="s">
        <v>260</v>
      </c>
      <c r="H190" s="7" t="s">
        <v>261</v>
      </c>
      <c r="I190" s="7" t="s">
        <v>261</v>
      </c>
      <c r="J190" s="7" t="str">
        <f>IFERROR(__xludf.DUMMYFUNCTION("GOOGLETRANSLATE($I190, ""de"", ""en"")"),"NO SALARY DATA")</f>
        <v>NO SALARY DATA</v>
      </c>
      <c r="K190" s="7" t="s">
        <v>261</v>
      </c>
      <c r="L190" s="7" t="s">
        <v>286</v>
      </c>
      <c r="M190" s="7" t="s">
        <v>263</v>
      </c>
      <c r="N190" s="7" t="s">
        <v>260</v>
      </c>
      <c r="O190" s="7"/>
      <c r="P190" s="35"/>
      <c r="Q190" s="7"/>
    </row>
    <row r="191">
      <c r="A191" s="7">
        <v>186.0</v>
      </c>
      <c r="B191" s="7" t="s">
        <v>265</v>
      </c>
      <c r="C191" s="7" t="str">
        <f>IFERROR(__xludf.DUMMYFUNCTION("GOOGLETRANSLATE($B191, $A$2, $B$2)"),"More than 30 days ago")</f>
        <v>More than 30 days ago</v>
      </c>
      <c r="D191" s="7" t="s">
        <v>784</v>
      </c>
      <c r="E191" s="7" t="s">
        <v>258</v>
      </c>
      <c r="F191" s="7" t="s">
        <v>785</v>
      </c>
      <c r="G191" s="7" t="s">
        <v>260</v>
      </c>
      <c r="H191" s="7" t="s">
        <v>261</v>
      </c>
      <c r="I191" s="7" t="s">
        <v>261</v>
      </c>
      <c r="J191" s="7" t="str">
        <f>IFERROR(__xludf.DUMMYFUNCTION("GOOGLETRANSLATE($I191, ""de"", ""en"")"),"NO SALARY DATA")</f>
        <v>NO SALARY DATA</v>
      </c>
      <c r="K191" s="7" t="s">
        <v>261</v>
      </c>
      <c r="L191" s="7" t="s">
        <v>500</v>
      </c>
      <c r="M191" s="7" t="s">
        <v>263</v>
      </c>
      <c r="N191" s="7" t="s">
        <v>486</v>
      </c>
      <c r="O191" s="7"/>
      <c r="P191" s="35"/>
      <c r="Q191" s="7"/>
    </row>
    <row r="192">
      <c r="A192" s="7">
        <v>187.0</v>
      </c>
      <c r="B192" s="7" t="s">
        <v>265</v>
      </c>
      <c r="C192" s="7" t="str">
        <f>IFERROR(__xludf.DUMMYFUNCTION("GOOGLETRANSLATE($B192, $A$2, $B$2)"),"More than 30 days ago")</f>
        <v>More than 30 days ago</v>
      </c>
      <c r="D192" s="7" t="s">
        <v>786</v>
      </c>
      <c r="E192" s="7" t="s">
        <v>633</v>
      </c>
      <c r="F192" s="7" t="s">
        <v>787</v>
      </c>
      <c r="G192" s="7" t="s">
        <v>260</v>
      </c>
      <c r="H192" s="7" t="s">
        <v>261</v>
      </c>
      <c r="I192" s="7" t="s">
        <v>261</v>
      </c>
      <c r="J192" s="7" t="str">
        <f>IFERROR(__xludf.DUMMYFUNCTION("GOOGLETRANSLATE($I192, ""de"", ""en"")"),"NO SALARY DATA")</f>
        <v>NO SALARY DATA</v>
      </c>
      <c r="K192" s="7" t="s">
        <v>261</v>
      </c>
      <c r="L192" s="7" t="s">
        <v>429</v>
      </c>
      <c r="M192" s="7" t="s">
        <v>263</v>
      </c>
      <c r="N192" s="7" t="s">
        <v>788</v>
      </c>
      <c r="O192" s="7"/>
      <c r="P192" s="37"/>
      <c r="Q192" s="7"/>
    </row>
    <row r="193">
      <c r="A193" s="7">
        <v>188.0</v>
      </c>
      <c r="B193" s="7" t="s">
        <v>265</v>
      </c>
      <c r="C193" s="7" t="str">
        <f>IFERROR(__xludf.DUMMYFUNCTION("GOOGLETRANSLATE($B193, $A$2, $B$2)"),"More than 30 days ago")</f>
        <v>More than 30 days ago</v>
      </c>
      <c r="D193" s="7" t="s">
        <v>789</v>
      </c>
      <c r="E193" s="7" t="s">
        <v>601</v>
      </c>
      <c r="F193" s="7" t="s">
        <v>602</v>
      </c>
      <c r="G193" s="7" t="s">
        <v>260</v>
      </c>
      <c r="H193" s="7" t="s">
        <v>261</v>
      </c>
      <c r="I193" s="7" t="s">
        <v>261</v>
      </c>
      <c r="J193" s="7" t="str">
        <f>IFERROR(__xludf.DUMMYFUNCTION("GOOGLETRANSLATE($I193, ""de"", ""en"")"),"NO SALARY DATA")</f>
        <v>NO SALARY DATA</v>
      </c>
      <c r="K193" s="7" t="s">
        <v>261</v>
      </c>
      <c r="L193" s="7" t="s">
        <v>790</v>
      </c>
      <c r="M193" s="7" t="s">
        <v>263</v>
      </c>
      <c r="N193" s="7" t="s">
        <v>260</v>
      </c>
      <c r="O193" s="7"/>
      <c r="P193" s="37"/>
      <c r="Q193" s="7"/>
    </row>
    <row r="194">
      <c r="A194" s="7">
        <v>189.0</v>
      </c>
      <c r="B194" s="7" t="s">
        <v>637</v>
      </c>
      <c r="C194" s="7" t="str">
        <f>IFERROR(__xludf.DUMMYFUNCTION("GOOGLETRANSLATE($B194, $A$2, $B$2)"),"17 days ago")</f>
        <v>17 days ago</v>
      </c>
      <c r="D194" s="7" t="s">
        <v>791</v>
      </c>
      <c r="E194" s="7" t="s">
        <v>258</v>
      </c>
      <c r="F194" s="7" t="s">
        <v>792</v>
      </c>
      <c r="G194" s="7" t="s">
        <v>260</v>
      </c>
      <c r="H194" s="7" t="s">
        <v>261</v>
      </c>
      <c r="I194" s="7" t="s">
        <v>261</v>
      </c>
      <c r="J194" s="7" t="str">
        <f>IFERROR(__xludf.DUMMYFUNCTION("GOOGLETRANSLATE($I194, ""de"", ""en"")"),"NO SALARY DATA")</f>
        <v>NO SALARY DATA</v>
      </c>
      <c r="K194" s="7" t="s">
        <v>261</v>
      </c>
      <c r="L194" s="7" t="s">
        <v>441</v>
      </c>
      <c r="M194" s="7" t="s">
        <v>263</v>
      </c>
      <c r="N194" s="7" t="s">
        <v>260</v>
      </c>
      <c r="O194" s="7"/>
      <c r="P194" s="35"/>
      <c r="Q194" s="7"/>
    </row>
    <row r="195">
      <c r="A195" s="7">
        <v>190.0</v>
      </c>
      <c r="B195" s="7" t="s">
        <v>332</v>
      </c>
      <c r="C195" s="7" t="str">
        <f>IFERROR(__xludf.DUMMYFUNCTION("GOOGLETRANSLATE($B195, $A$2, $B$2)"),"4 days ago")</f>
        <v>4 days ago</v>
      </c>
      <c r="D195" s="7" t="s">
        <v>668</v>
      </c>
      <c r="E195" s="7" t="s">
        <v>793</v>
      </c>
      <c r="F195" s="7" t="s">
        <v>794</v>
      </c>
      <c r="G195" s="7" t="s">
        <v>260</v>
      </c>
      <c r="H195" s="7" t="s">
        <v>261</v>
      </c>
      <c r="I195" s="7" t="s">
        <v>261</v>
      </c>
      <c r="J195" s="7" t="str">
        <f>IFERROR(__xludf.DUMMYFUNCTION("GOOGLETRANSLATE($I195, ""de"", ""en"")"),"NO SALARY DATA")</f>
        <v>NO SALARY DATA</v>
      </c>
      <c r="K195" s="7" t="s">
        <v>261</v>
      </c>
      <c r="L195" s="7" t="s">
        <v>795</v>
      </c>
      <c r="M195" s="7" t="s">
        <v>274</v>
      </c>
      <c r="N195" s="7" t="s">
        <v>323</v>
      </c>
      <c r="O195" s="7"/>
      <c r="P195" s="35"/>
      <c r="Q195" s="7"/>
    </row>
    <row r="196">
      <c r="A196" s="7">
        <v>191.0</v>
      </c>
      <c r="B196" s="7" t="s">
        <v>265</v>
      </c>
      <c r="C196" s="7" t="str">
        <f>IFERROR(__xludf.DUMMYFUNCTION("GOOGLETRANSLATE($B196, $A$2, $B$2)"),"More than 30 days ago")</f>
        <v>More than 30 days ago</v>
      </c>
      <c r="D196" s="7" t="s">
        <v>796</v>
      </c>
      <c r="E196" s="7" t="s">
        <v>405</v>
      </c>
      <c r="F196" s="7" t="s">
        <v>797</v>
      </c>
      <c r="G196" s="7" t="s">
        <v>260</v>
      </c>
      <c r="H196" s="7" t="s">
        <v>261</v>
      </c>
      <c r="I196" s="7" t="s">
        <v>261</v>
      </c>
      <c r="J196" s="7" t="str">
        <f>IFERROR(__xludf.DUMMYFUNCTION("GOOGLETRANSLATE($I196, ""de"", ""en"")"),"NO SALARY DATA")</f>
        <v>NO SALARY DATA</v>
      </c>
      <c r="K196" s="7" t="s">
        <v>261</v>
      </c>
      <c r="L196" s="7"/>
      <c r="M196" s="7" t="s">
        <v>263</v>
      </c>
      <c r="N196" s="7" t="s">
        <v>725</v>
      </c>
      <c r="O196" s="7"/>
      <c r="P196" s="35"/>
      <c r="Q196" s="7"/>
    </row>
    <row r="197">
      <c r="A197" s="7">
        <v>192.0</v>
      </c>
      <c r="B197" s="7" t="s">
        <v>265</v>
      </c>
      <c r="C197" s="7" t="str">
        <f>IFERROR(__xludf.DUMMYFUNCTION("GOOGLETRANSLATE($B197, $A$2, $B$2)"),"More than 30 days ago")</f>
        <v>More than 30 days ago</v>
      </c>
      <c r="D197" s="7" t="s">
        <v>798</v>
      </c>
      <c r="E197" s="7" t="s">
        <v>258</v>
      </c>
      <c r="F197" s="7" t="s">
        <v>799</v>
      </c>
      <c r="G197" s="7" t="s">
        <v>260</v>
      </c>
      <c r="H197" s="7" t="s">
        <v>261</v>
      </c>
      <c r="I197" s="7" t="s">
        <v>261</v>
      </c>
      <c r="J197" s="7" t="str">
        <f>IFERROR(__xludf.DUMMYFUNCTION("GOOGLETRANSLATE($I197, ""de"", ""en"")"),"NO SALARY DATA")</f>
        <v>NO SALARY DATA</v>
      </c>
      <c r="K197" s="7" t="s">
        <v>261</v>
      </c>
      <c r="L197" s="7" t="s">
        <v>800</v>
      </c>
      <c r="M197" s="7" t="s">
        <v>263</v>
      </c>
      <c r="N197" s="7" t="s">
        <v>486</v>
      </c>
      <c r="O197" s="7"/>
      <c r="P197" s="35"/>
      <c r="Q197" s="7"/>
    </row>
    <row r="198">
      <c r="A198" s="7">
        <v>193.0</v>
      </c>
      <c r="B198" s="7" t="s">
        <v>332</v>
      </c>
      <c r="C198" s="7" t="str">
        <f>IFERROR(__xludf.DUMMYFUNCTION("GOOGLETRANSLATE($B198, $A$2, $B$2)"),"4 days ago")</f>
        <v>4 days ago</v>
      </c>
      <c r="D198" s="7" t="s">
        <v>801</v>
      </c>
      <c r="E198" s="7" t="s">
        <v>368</v>
      </c>
      <c r="F198" s="7" t="s">
        <v>802</v>
      </c>
      <c r="G198" s="7" t="s">
        <v>260</v>
      </c>
      <c r="H198" s="7" t="s">
        <v>261</v>
      </c>
      <c r="I198" s="7" t="s">
        <v>261</v>
      </c>
      <c r="J198" s="7" t="str">
        <f>IFERROR(__xludf.DUMMYFUNCTION("GOOGLETRANSLATE($I198, ""de"", ""en"")"),"NO SALARY DATA")</f>
        <v>NO SALARY DATA</v>
      </c>
      <c r="K198" s="7" t="s">
        <v>261</v>
      </c>
      <c r="L198" s="7" t="s">
        <v>350</v>
      </c>
      <c r="M198" s="7" t="s">
        <v>263</v>
      </c>
      <c r="N198" s="7" t="s">
        <v>301</v>
      </c>
      <c r="O198" s="7"/>
      <c r="P198" s="35"/>
      <c r="Q198" s="7"/>
    </row>
    <row r="199">
      <c r="A199" s="7">
        <v>194.0</v>
      </c>
      <c r="B199" s="7" t="s">
        <v>265</v>
      </c>
      <c r="C199" s="7" t="str">
        <f>IFERROR(__xludf.DUMMYFUNCTION("GOOGLETRANSLATE($B199, $A$2, $B$2)"),"More than 30 days ago")</f>
        <v>More than 30 days ago</v>
      </c>
      <c r="D199" s="7" t="s">
        <v>803</v>
      </c>
      <c r="E199" s="7" t="s">
        <v>804</v>
      </c>
      <c r="F199" s="7" t="s">
        <v>805</v>
      </c>
      <c r="G199" s="7" t="s">
        <v>260</v>
      </c>
      <c r="H199" s="7" t="s">
        <v>261</v>
      </c>
      <c r="I199" s="7" t="s">
        <v>261</v>
      </c>
      <c r="J199" s="7" t="str">
        <f>IFERROR(__xludf.DUMMYFUNCTION("GOOGLETRANSLATE($I199, ""de"", ""en"")"),"NO SALARY DATA")</f>
        <v>NO SALARY DATA</v>
      </c>
      <c r="K199" s="7" t="s">
        <v>261</v>
      </c>
      <c r="L199" s="7" t="s">
        <v>806</v>
      </c>
      <c r="M199" s="7" t="s">
        <v>263</v>
      </c>
      <c r="N199" s="7" t="s">
        <v>301</v>
      </c>
      <c r="O199" s="7"/>
      <c r="P199" s="37"/>
      <c r="Q199" s="7"/>
    </row>
    <row r="200">
      <c r="A200" s="7">
        <v>195.0</v>
      </c>
      <c r="B200" s="7" t="s">
        <v>358</v>
      </c>
      <c r="C200" s="7" t="str">
        <f>IFERROR(__xludf.DUMMYFUNCTION("GOOGLETRANSLATE($B200, $A$2, $B$2)"),"28 days ago")</f>
        <v>28 days ago</v>
      </c>
      <c r="D200" s="7" t="s">
        <v>807</v>
      </c>
      <c r="E200" s="7" t="s">
        <v>352</v>
      </c>
      <c r="F200" s="7" t="s">
        <v>808</v>
      </c>
      <c r="G200" s="7" t="s">
        <v>260</v>
      </c>
      <c r="H200" s="7" t="s">
        <v>261</v>
      </c>
      <c r="I200" s="7" t="s">
        <v>261</v>
      </c>
      <c r="J200" s="7" t="str">
        <f>IFERROR(__xludf.DUMMYFUNCTION("GOOGLETRANSLATE($I200, ""de"", ""en"")"),"NO SALARY DATA")</f>
        <v>NO SALARY DATA</v>
      </c>
      <c r="K200" s="7" t="s">
        <v>261</v>
      </c>
      <c r="L200" s="7" t="s">
        <v>425</v>
      </c>
      <c r="M200" s="7" t="s">
        <v>263</v>
      </c>
      <c r="N200" s="7" t="s">
        <v>260</v>
      </c>
      <c r="O200" s="7"/>
      <c r="P200" s="37"/>
      <c r="Q200" s="7"/>
    </row>
    <row r="201">
      <c r="A201" s="7">
        <v>196.0</v>
      </c>
      <c r="B201" s="7" t="s">
        <v>265</v>
      </c>
      <c r="C201" s="7" t="str">
        <f>IFERROR(__xludf.DUMMYFUNCTION("GOOGLETRANSLATE($B201, $A$2, $B$2)"),"More than 30 days ago")</f>
        <v>More than 30 days ago</v>
      </c>
      <c r="D201" s="7" t="s">
        <v>266</v>
      </c>
      <c r="E201" s="7" t="s">
        <v>258</v>
      </c>
      <c r="F201" s="7" t="s">
        <v>267</v>
      </c>
      <c r="G201" s="7" t="s">
        <v>260</v>
      </c>
      <c r="H201" s="7" t="s">
        <v>261</v>
      </c>
      <c r="I201" s="7" t="s">
        <v>261</v>
      </c>
      <c r="J201" s="7" t="str">
        <f>IFERROR(__xludf.DUMMYFUNCTION("GOOGLETRANSLATE($I201, ""de"", ""en"")"),"NO SALARY DATA")</f>
        <v>NO SALARY DATA</v>
      </c>
      <c r="K201" s="7" t="s">
        <v>261</v>
      </c>
      <c r="L201" s="7" t="s">
        <v>268</v>
      </c>
      <c r="M201" s="7" t="s">
        <v>263</v>
      </c>
      <c r="N201" s="7" t="s">
        <v>260</v>
      </c>
      <c r="O201" s="7"/>
      <c r="P201" s="35"/>
      <c r="Q201" s="7"/>
    </row>
    <row r="202">
      <c r="A202" s="7">
        <v>197.0</v>
      </c>
      <c r="B202" s="7" t="s">
        <v>265</v>
      </c>
      <c r="C202" s="7" t="str">
        <f>IFERROR(__xludf.DUMMYFUNCTION("GOOGLETRANSLATE($B202, $A$2, $B$2)"),"More than 30 days ago")</f>
        <v>More than 30 days ago</v>
      </c>
      <c r="D202" s="7" t="s">
        <v>809</v>
      </c>
      <c r="E202" s="7" t="s">
        <v>343</v>
      </c>
      <c r="F202" s="7" t="s">
        <v>506</v>
      </c>
      <c r="G202" s="7" t="s">
        <v>810</v>
      </c>
      <c r="H202" s="7">
        <v>3068.0</v>
      </c>
      <c r="I202" s="7" t="s">
        <v>811</v>
      </c>
      <c r="J202" s="7" t="str">
        <f>IFERROR(__xludf.DUMMYFUNCTION("GOOGLETRANSLATE($I202, ""de"", ""en"")"),"month")</f>
        <v>month</v>
      </c>
      <c r="K202" s="7">
        <v>36816.0</v>
      </c>
      <c r="L202" s="7" t="s">
        <v>312</v>
      </c>
      <c r="M202" s="7" t="s">
        <v>263</v>
      </c>
      <c r="N202" s="7" t="s">
        <v>507</v>
      </c>
      <c r="O202" s="7"/>
      <c r="P202" s="37"/>
      <c r="Q202" s="7"/>
    </row>
    <row r="203">
      <c r="A203" s="7">
        <v>198.0</v>
      </c>
      <c r="B203" s="7" t="s">
        <v>392</v>
      </c>
      <c r="C203" s="7" t="str">
        <f>IFERROR(__xludf.DUMMYFUNCTION("GOOGLETRANSLATE($B203, $A$2, $B$2)"),"10 days ago")</f>
        <v>10 days ago</v>
      </c>
      <c r="D203" s="7" t="s">
        <v>812</v>
      </c>
      <c r="E203" s="7" t="s">
        <v>271</v>
      </c>
      <c r="F203" s="7" t="s">
        <v>813</v>
      </c>
      <c r="G203" s="7" t="s">
        <v>260</v>
      </c>
      <c r="H203" s="7" t="s">
        <v>261</v>
      </c>
      <c r="I203" s="7" t="s">
        <v>261</v>
      </c>
      <c r="J203" s="7" t="str">
        <f>IFERROR(__xludf.DUMMYFUNCTION("GOOGLETRANSLATE($I203, ""de"", ""en"")"),"NO SALARY DATA")</f>
        <v>NO SALARY DATA</v>
      </c>
      <c r="K203" s="7" t="s">
        <v>261</v>
      </c>
      <c r="L203" s="7" t="s">
        <v>777</v>
      </c>
      <c r="M203" s="7" t="s">
        <v>263</v>
      </c>
      <c r="N203" s="7" t="s">
        <v>260</v>
      </c>
      <c r="O203" s="7"/>
      <c r="P203" s="37"/>
      <c r="Q203" s="7"/>
    </row>
    <row r="204">
      <c r="A204" s="7">
        <v>199.0</v>
      </c>
      <c r="B204" s="7" t="s">
        <v>379</v>
      </c>
      <c r="C204" s="7" t="str">
        <f>IFERROR(__xludf.DUMMYFUNCTION("GOOGLETRANSLATE($B204, $A$2, $B$2)"),"13 days ago")</f>
        <v>13 days ago</v>
      </c>
      <c r="D204" s="7" t="s">
        <v>306</v>
      </c>
      <c r="E204" s="7" t="s">
        <v>814</v>
      </c>
      <c r="F204" s="7" t="s">
        <v>815</v>
      </c>
      <c r="G204" s="7" t="s">
        <v>260</v>
      </c>
      <c r="H204" s="7" t="s">
        <v>261</v>
      </c>
      <c r="I204" s="7" t="s">
        <v>261</v>
      </c>
      <c r="J204" s="7" t="str">
        <f>IFERROR(__xludf.DUMMYFUNCTION("GOOGLETRANSLATE($I204, ""de"", ""en"")"),"NO SALARY DATA")</f>
        <v>NO SALARY DATA</v>
      </c>
      <c r="K204" s="7" t="s">
        <v>261</v>
      </c>
      <c r="L204" s="7"/>
      <c r="M204" s="7" t="s">
        <v>263</v>
      </c>
      <c r="N204" s="7" t="s">
        <v>260</v>
      </c>
      <c r="O204" s="7"/>
      <c r="P204" s="37"/>
      <c r="Q204" s="7"/>
    </row>
    <row r="205">
      <c r="A205" s="7">
        <v>200.0</v>
      </c>
      <c r="B205" s="7" t="s">
        <v>341</v>
      </c>
      <c r="C205" s="7" t="str">
        <f>IFERROR(__xludf.DUMMYFUNCTION("GOOGLETRANSLATE($B205, $A$2, $B$2)"),"before 14 days")</f>
        <v>before 14 days</v>
      </c>
      <c r="D205" s="7" t="s">
        <v>764</v>
      </c>
      <c r="E205" s="7" t="s">
        <v>280</v>
      </c>
      <c r="F205" s="7" t="s">
        <v>765</v>
      </c>
      <c r="G205" s="7" t="s">
        <v>260</v>
      </c>
      <c r="H205" s="7" t="s">
        <v>261</v>
      </c>
      <c r="I205" s="7" t="s">
        <v>261</v>
      </c>
      <c r="J205" s="7" t="str">
        <f>IFERROR(__xludf.DUMMYFUNCTION("GOOGLETRANSLATE($I205, ""de"", ""en"")"),"NO SALARY DATA")</f>
        <v>NO SALARY DATA</v>
      </c>
      <c r="K205" s="7" t="s">
        <v>261</v>
      </c>
      <c r="L205" s="7" t="s">
        <v>318</v>
      </c>
      <c r="M205" s="7" t="s">
        <v>263</v>
      </c>
      <c r="N205" s="7" t="s">
        <v>260</v>
      </c>
      <c r="O205" s="7"/>
      <c r="P205" s="35"/>
      <c r="Q205" s="7"/>
    </row>
    <row r="206">
      <c r="A206" s="7">
        <v>201.0</v>
      </c>
      <c r="B206" s="7" t="s">
        <v>265</v>
      </c>
      <c r="C206" s="7" t="str">
        <f>IFERROR(__xludf.DUMMYFUNCTION("GOOGLETRANSLATE($B206, $A$2, $B$2)"),"More than 30 days ago")</f>
        <v>More than 30 days ago</v>
      </c>
      <c r="D206" s="7" t="s">
        <v>816</v>
      </c>
      <c r="E206" s="7" t="s">
        <v>258</v>
      </c>
      <c r="F206" s="7" t="s">
        <v>817</v>
      </c>
      <c r="G206" s="7" t="s">
        <v>260</v>
      </c>
      <c r="H206" s="7" t="s">
        <v>261</v>
      </c>
      <c r="I206" s="7" t="s">
        <v>261</v>
      </c>
      <c r="J206" s="7" t="str">
        <f>IFERROR(__xludf.DUMMYFUNCTION("GOOGLETRANSLATE($I206, ""de"", ""en"")"),"NO SALARY DATA")</f>
        <v>NO SALARY DATA</v>
      </c>
      <c r="K206" s="7" t="s">
        <v>261</v>
      </c>
      <c r="L206" s="7" t="s">
        <v>818</v>
      </c>
      <c r="M206" s="7" t="s">
        <v>263</v>
      </c>
      <c r="N206" s="7" t="s">
        <v>819</v>
      </c>
      <c r="O206" s="7"/>
      <c r="P206" s="35"/>
      <c r="Q206" s="7"/>
    </row>
    <row r="207">
      <c r="A207" s="7">
        <v>202.0</v>
      </c>
      <c r="B207" s="7" t="s">
        <v>269</v>
      </c>
      <c r="C207" s="7" t="str">
        <f>IFERROR(__xludf.DUMMYFUNCTION("GOOGLETRANSLATE($B207, $A$2, $B$2)"),"5 days ago")</f>
        <v>5 days ago</v>
      </c>
      <c r="D207" s="7" t="s">
        <v>641</v>
      </c>
      <c r="E207" s="7" t="s">
        <v>343</v>
      </c>
      <c r="F207" s="7" t="s">
        <v>642</v>
      </c>
      <c r="G207" s="7" t="s">
        <v>260</v>
      </c>
      <c r="H207" s="7" t="s">
        <v>261</v>
      </c>
      <c r="I207" s="7" t="s">
        <v>261</v>
      </c>
      <c r="J207" s="7" t="str">
        <f>IFERROR(__xludf.DUMMYFUNCTION("GOOGLETRANSLATE($I207, ""de"", ""en"")"),"NO SALARY DATA")</f>
        <v>NO SALARY DATA</v>
      </c>
      <c r="K207" s="7" t="s">
        <v>261</v>
      </c>
      <c r="L207" s="7" t="s">
        <v>643</v>
      </c>
      <c r="M207" s="7" t="s">
        <v>263</v>
      </c>
      <c r="N207" s="7" t="s">
        <v>275</v>
      </c>
      <c r="O207" s="7"/>
      <c r="P207" s="35"/>
      <c r="Q207" s="7"/>
    </row>
    <row r="208">
      <c r="A208" s="7">
        <v>203.0</v>
      </c>
      <c r="B208" s="7" t="s">
        <v>265</v>
      </c>
      <c r="C208" s="7" t="str">
        <f>IFERROR(__xludf.DUMMYFUNCTION("GOOGLETRANSLATE($B208, $A$2, $B$2)"),"More than 30 days ago")</f>
        <v>More than 30 days ago</v>
      </c>
      <c r="D208" s="7" t="s">
        <v>820</v>
      </c>
      <c r="E208" s="7" t="s">
        <v>258</v>
      </c>
      <c r="F208" s="7" t="s">
        <v>821</v>
      </c>
      <c r="G208" s="7" t="s">
        <v>260</v>
      </c>
      <c r="H208" s="7" t="s">
        <v>261</v>
      </c>
      <c r="I208" s="7" t="s">
        <v>261</v>
      </c>
      <c r="J208" s="7" t="str">
        <f>IFERROR(__xludf.DUMMYFUNCTION("GOOGLETRANSLATE($I208, ""de"", ""en"")"),"NO SALARY DATA")</f>
        <v>NO SALARY DATA</v>
      </c>
      <c r="K208" s="7" t="s">
        <v>261</v>
      </c>
      <c r="L208" s="7" t="s">
        <v>822</v>
      </c>
      <c r="M208" s="7" t="s">
        <v>263</v>
      </c>
      <c r="N208" s="7" t="s">
        <v>301</v>
      </c>
      <c r="O208" s="7"/>
      <c r="P208" s="35"/>
      <c r="Q208" s="7"/>
    </row>
    <row r="209">
      <c r="A209" s="7">
        <v>204.0</v>
      </c>
      <c r="B209" s="7" t="s">
        <v>265</v>
      </c>
      <c r="C209" s="7" t="str">
        <f>IFERROR(__xludf.DUMMYFUNCTION("GOOGLETRANSLATE($B209, $A$2, $B$2)"),"More than 30 days ago")</f>
        <v>More than 30 days ago</v>
      </c>
      <c r="D209" s="7" t="s">
        <v>823</v>
      </c>
      <c r="E209" s="7" t="s">
        <v>280</v>
      </c>
      <c r="F209" s="7" t="s">
        <v>406</v>
      </c>
      <c r="G209" s="7" t="s">
        <v>260</v>
      </c>
      <c r="H209" s="7" t="s">
        <v>261</v>
      </c>
      <c r="I209" s="7" t="s">
        <v>261</v>
      </c>
      <c r="J209" s="7" t="str">
        <f>IFERROR(__xludf.DUMMYFUNCTION("GOOGLETRANSLATE($I209, ""de"", ""en"")"),"NO SALARY DATA")</f>
        <v>NO SALARY DATA</v>
      </c>
      <c r="K209" s="7" t="s">
        <v>261</v>
      </c>
      <c r="L209" s="7" t="s">
        <v>318</v>
      </c>
      <c r="M209" s="7" t="s">
        <v>263</v>
      </c>
      <c r="N209" s="7" t="s">
        <v>275</v>
      </c>
      <c r="O209" s="7"/>
      <c r="P209" s="35"/>
      <c r="Q209" s="7"/>
    </row>
    <row r="210">
      <c r="A210" s="7">
        <v>205.0</v>
      </c>
      <c r="B210" s="7" t="s">
        <v>288</v>
      </c>
      <c r="C210" s="7" t="str">
        <f>IFERROR(__xludf.DUMMYFUNCTION("GOOGLETRANSLATE($B210, $A$2, $B$2)"),"2 days ago")</f>
        <v>2 days ago</v>
      </c>
      <c r="D210" s="7" t="s">
        <v>706</v>
      </c>
      <c r="E210" s="7" t="s">
        <v>298</v>
      </c>
      <c r="F210" s="7" t="s">
        <v>748</v>
      </c>
      <c r="G210" s="7" t="s">
        <v>260</v>
      </c>
      <c r="H210" s="7" t="s">
        <v>261</v>
      </c>
      <c r="I210" s="7" t="s">
        <v>261</v>
      </c>
      <c r="J210" s="7" t="str">
        <f>IFERROR(__xludf.DUMMYFUNCTION("GOOGLETRANSLATE($I210, ""de"", ""en"")"),"NO SALARY DATA")</f>
        <v>NO SALARY DATA</v>
      </c>
      <c r="K210" s="7" t="s">
        <v>261</v>
      </c>
      <c r="L210" s="7" t="s">
        <v>433</v>
      </c>
      <c r="M210" s="7" t="s">
        <v>414</v>
      </c>
      <c r="N210" s="7" t="s">
        <v>301</v>
      </c>
      <c r="O210" s="7"/>
      <c r="P210" s="37"/>
      <c r="Q210" s="7"/>
    </row>
    <row r="211">
      <c r="A211" s="7">
        <v>206.0</v>
      </c>
      <c r="B211" s="7" t="s">
        <v>508</v>
      </c>
      <c r="C211" s="7" t="str">
        <f>IFERROR(__xludf.DUMMYFUNCTION("GOOGLETRANSLATE($B211, $A$2, $B$2)"),"24 days ago")</f>
        <v>24 days ago</v>
      </c>
      <c r="D211" s="7" t="s">
        <v>824</v>
      </c>
      <c r="E211" s="7" t="s">
        <v>825</v>
      </c>
      <c r="F211" s="7" t="s">
        <v>826</v>
      </c>
      <c r="G211" s="7" t="s">
        <v>260</v>
      </c>
      <c r="H211" s="7" t="s">
        <v>261</v>
      </c>
      <c r="I211" s="7" t="s">
        <v>261</v>
      </c>
      <c r="J211" s="7" t="str">
        <f>IFERROR(__xludf.DUMMYFUNCTION("GOOGLETRANSLATE($I211, ""de"", ""en"")"),"NO SALARY DATA")</f>
        <v>NO SALARY DATA</v>
      </c>
      <c r="K211" s="7" t="s">
        <v>261</v>
      </c>
      <c r="L211" s="7" t="s">
        <v>795</v>
      </c>
      <c r="M211" s="7" t="s">
        <v>263</v>
      </c>
      <c r="N211" s="7" t="s">
        <v>260</v>
      </c>
      <c r="O211" s="7"/>
      <c r="P211" s="35"/>
      <c r="Q211" s="7"/>
    </row>
    <row r="212">
      <c r="A212" s="7">
        <v>207.0</v>
      </c>
      <c r="B212" s="7" t="s">
        <v>265</v>
      </c>
      <c r="C212" s="7" t="str">
        <f>IFERROR(__xludf.DUMMYFUNCTION("GOOGLETRANSLATE($B212, $A$2, $B$2)"),"More than 30 days ago")</f>
        <v>More than 30 days ago</v>
      </c>
      <c r="D212" s="7" t="s">
        <v>827</v>
      </c>
      <c r="E212" s="7" t="s">
        <v>348</v>
      </c>
      <c r="F212" s="7" t="s">
        <v>828</v>
      </c>
      <c r="G212" s="7" t="s">
        <v>260</v>
      </c>
      <c r="H212" s="7" t="s">
        <v>261</v>
      </c>
      <c r="I212" s="7" t="s">
        <v>261</v>
      </c>
      <c r="J212" s="7" t="str">
        <f>IFERROR(__xludf.DUMMYFUNCTION("GOOGLETRANSLATE($I212, ""de"", ""en"")"),"NO SALARY DATA")</f>
        <v>NO SALARY DATA</v>
      </c>
      <c r="K212" s="7" t="s">
        <v>261</v>
      </c>
      <c r="L212" s="7"/>
      <c r="M212" s="7" t="s">
        <v>263</v>
      </c>
      <c r="N212" s="7" t="s">
        <v>434</v>
      </c>
      <c r="O212" s="7"/>
      <c r="P212" s="37"/>
      <c r="Q212" s="7"/>
    </row>
    <row r="213">
      <c r="A213" s="7">
        <v>208.0</v>
      </c>
      <c r="B213" s="7" t="s">
        <v>265</v>
      </c>
      <c r="C213" s="7" t="str">
        <f>IFERROR(__xludf.DUMMYFUNCTION("GOOGLETRANSLATE($B213, $A$2, $B$2)"),"More than 30 days ago")</f>
        <v>More than 30 days ago</v>
      </c>
      <c r="D213" s="7" t="s">
        <v>276</v>
      </c>
      <c r="E213" s="7" t="s">
        <v>258</v>
      </c>
      <c r="F213" s="7" t="s">
        <v>829</v>
      </c>
      <c r="G213" s="7" t="s">
        <v>260</v>
      </c>
      <c r="H213" s="7" t="s">
        <v>261</v>
      </c>
      <c r="I213" s="7" t="s">
        <v>261</v>
      </c>
      <c r="J213" s="7" t="str">
        <f>IFERROR(__xludf.DUMMYFUNCTION("GOOGLETRANSLATE($I213, ""de"", ""en"")"),"NO SALARY DATA")</f>
        <v>NO SALARY DATA</v>
      </c>
      <c r="K213" s="7" t="s">
        <v>261</v>
      </c>
      <c r="L213" s="7" t="s">
        <v>830</v>
      </c>
      <c r="M213" s="7" t="s">
        <v>263</v>
      </c>
      <c r="N213" s="7" t="s">
        <v>260</v>
      </c>
      <c r="O213" s="7"/>
      <c r="P213" s="37"/>
      <c r="Q213" s="7"/>
    </row>
    <row r="214">
      <c r="A214" s="7">
        <v>209.0</v>
      </c>
      <c r="B214" s="7" t="s">
        <v>637</v>
      </c>
      <c r="C214" s="7" t="str">
        <f>IFERROR(__xludf.DUMMYFUNCTION("GOOGLETRANSLATE($B214, $A$2, $B$2)"),"17 days ago")</f>
        <v>17 days ago</v>
      </c>
      <c r="D214" s="7" t="s">
        <v>831</v>
      </c>
      <c r="E214" s="7" t="s">
        <v>408</v>
      </c>
      <c r="F214" s="7" t="s">
        <v>832</v>
      </c>
      <c r="G214" s="7" t="s">
        <v>260</v>
      </c>
      <c r="H214" s="7" t="s">
        <v>261</v>
      </c>
      <c r="I214" s="7" t="s">
        <v>261</v>
      </c>
      <c r="J214" s="7" t="str">
        <f>IFERROR(__xludf.DUMMYFUNCTION("GOOGLETRANSLATE($I214, ""de"", ""en"")"),"NO SALARY DATA")</f>
        <v>NO SALARY DATA</v>
      </c>
      <c r="K214" s="7" t="s">
        <v>261</v>
      </c>
      <c r="L214" s="7" t="s">
        <v>833</v>
      </c>
      <c r="M214" s="7" t="s">
        <v>263</v>
      </c>
      <c r="N214" s="7" t="s">
        <v>260</v>
      </c>
      <c r="O214" s="7"/>
      <c r="P214" s="37"/>
      <c r="Q214" s="7"/>
    </row>
    <row r="215">
      <c r="A215" s="7">
        <v>210.0</v>
      </c>
      <c r="B215" s="7" t="s">
        <v>265</v>
      </c>
      <c r="C215" s="7" t="str">
        <f>IFERROR(__xludf.DUMMYFUNCTION("GOOGLETRANSLATE($B215, $A$2, $B$2)"),"More than 30 days ago")</f>
        <v>More than 30 days ago</v>
      </c>
      <c r="D215" s="7" t="s">
        <v>834</v>
      </c>
      <c r="E215" s="7" t="s">
        <v>835</v>
      </c>
      <c r="F215" s="7" t="s">
        <v>836</v>
      </c>
      <c r="G215" s="7" t="s">
        <v>260</v>
      </c>
      <c r="H215" s="7" t="s">
        <v>261</v>
      </c>
      <c r="I215" s="7" t="s">
        <v>261</v>
      </c>
      <c r="J215" s="7" t="str">
        <f>IFERROR(__xludf.DUMMYFUNCTION("GOOGLETRANSLATE($I215, ""de"", ""en"")"),"NO SALARY DATA")</f>
        <v>NO SALARY DATA</v>
      </c>
      <c r="K215" s="7" t="s">
        <v>261</v>
      </c>
      <c r="L215" s="7" t="s">
        <v>441</v>
      </c>
      <c r="M215" s="7" t="s">
        <v>263</v>
      </c>
      <c r="N215" s="7" t="s">
        <v>260</v>
      </c>
      <c r="O215" s="7"/>
      <c r="P215" s="37"/>
      <c r="Q215" s="7"/>
    </row>
    <row r="216">
      <c r="A216" s="7">
        <v>211.0</v>
      </c>
      <c r="B216" s="7" t="s">
        <v>705</v>
      </c>
      <c r="C216" s="7" t="str">
        <f>IFERROR(__xludf.DUMMYFUNCTION("GOOGLETRANSLATE($B216, $A$2, $B$2)"),"9 days ago")</f>
        <v>9 days ago</v>
      </c>
      <c r="D216" s="7" t="s">
        <v>706</v>
      </c>
      <c r="E216" s="7" t="s">
        <v>408</v>
      </c>
      <c r="F216" s="7" t="s">
        <v>707</v>
      </c>
      <c r="G216" s="7" t="s">
        <v>260</v>
      </c>
      <c r="H216" s="7" t="s">
        <v>261</v>
      </c>
      <c r="I216" s="7" t="s">
        <v>261</v>
      </c>
      <c r="J216" s="7" t="str">
        <f>IFERROR(__xludf.DUMMYFUNCTION("GOOGLETRANSLATE($I216, ""de"", ""en"")"),"NO SALARY DATA")</f>
        <v>NO SALARY DATA</v>
      </c>
      <c r="K216" s="7" t="s">
        <v>261</v>
      </c>
      <c r="L216" s="7" t="s">
        <v>327</v>
      </c>
      <c r="M216" s="7" t="s">
        <v>263</v>
      </c>
      <c r="N216" s="7" t="s">
        <v>260</v>
      </c>
      <c r="O216" s="7"/>
      <c r="P216" s="35"/>
      <c r="Q216" s="7"/>
    </row>
    <row r="217">
      <c r="A217" s="7">
        <v>212.0</v>
      </c>
      <c r="B217" s="7" t="s">
        <v>265</v>
      </c>
      <c r="C217" s="7" t="str">
        <f>IFERROR(__xludf.DUMMYFUNCTION("GOOGLETRANSLATE($B217, $A$2, $B$2)"),"More than 30 days ago")</f>
        <v>More than 30 days ago</v>
      </c>
      <c r="D217" s="7" t="s">
        <v>837</v>
      </c>
      <c r="E217" s="7" t="s">
        <v>343</v>
      </c>
      <c r="F217" s="7" t="s">
        <v>506</v>
      </c>
      <c r="G217" s="7" t="s">
        <v>260</v>
      </c>
      <c r="H217" s="7" t="s">
        <v>261</v>
      </c>
      <c r="I217" s="7" t="s">
        <v>261</v>
      </c>
      <c r="J217" s="7" t="str">
        <f>IFERROR(__xludf.DUMMYFUNCTION("GOOGLETRANSLATE($I217, ""de"", ""en"")"),"NO SALARY DATA")</f>
        <v>NO SALARY DATA</v>
      </c>
      <c r="K217" s="7" t="s">
        <v>261</v>
      </c>
      <c r="L217" s="7" t="s">
        <v>838</v>
      </c>
      <c r="M217" s="7" t="s">
        <v>263</v>
      </c>
      <c r="N217" s="7" t="s">
        <v>507</v>
      </c>
      <c r="O217" s="7"/>
      <c r="P217" s="35"/>
      <c r="Q217" s="7"/>
    </row>
    <row r="218">
      <c r="A218" s="7">
        <v>213.0</v>
      </c>
      <c r="B218" s="7" t="s">
        <v>265</v>
      </c>
      <c r="C218" s="7" t="str">
        <f>IFERROR(__xludf.DUMMYFUNCTION("GOOGLETRANSLATE($B218, $A$2, $B$2)"),"More than 30 days ago")</f>
        <v>More than 30 days ago</v>
      </c>
      <c r="D218" s="7" t="s">
        <v>839</v>
      </c>
      <c r="E218" s="7" t="s">
        <v>280</v>
      </c>
      <c r="F218" s="7" t="s">
        <v>840</v>
      </c>
      <c r="G218" s="7" t="s">
        <v>260</v>
      </c>
      <c r="H218" s="7" t="s">
        <v>261</v>
      </c>
      <c r="I218" s="7" t="s">
        <v>261</v>
      </c>
      <c r="J218" s="7" t="str">
        <f>IFERROR(__xludf.DUMMYFUNCTION("GOOGLETRANSLATE($I218, ""de"", ""en"")"),"NO SALARY DATA")</f>
        <v>NO SALARY DATA</v>
      </c>
      <c r="K218" s="7" t="s">
        <v>261</v>
      </c>
      <c r="L218" s="7" t="s">
        <v>282</v>
      </c>
      <c r="M218" s="7" t="s">
        <v>263</v>
      </c>
      <c r="N218" s="7" t="s">
        <v>434</v>
      </c>
      <c r="O218" s="7"/>
      <c r="P218" s="37"/>
      <c r="Q218" s="7"/>
    </row>
    <row r="219">
      <c r="A219" s="7">
        <v>214.0</v>
      </c>
      <c r="B219" s="7" t="s">
        <v>265</v>
      </c>
      <c r="C219" s="7" t="str">
        <f>IFERROR(__xludf.DUMMYFUNCTION("GOOGLETRANSLATE($B219, $A$2, $B$2)"),"More than 30 days ago")</f>
        <v>More than 30 days ago</v>
      </c>
      <c r="D219" s="7" t="s">
        <v>841</v>
      </c>
      <c r="E219" s="7" t="s">
        <v>280</v>
      </c>
      <c r="F219" s="7" t="s">
        <v>842</v>
      </c>
      <c r="G219" s="7" t="s">
        <v>260</v>
      </c>
      <c r="H219" s="7" t="s">
        <v>261</v>
      </c>
      <c r="I219" s="7" t="s">
        <v>261</v>
      </c>
      <c r="J219" s="7" t="str">
        <f>IFERROR(__xludf.DUMMYFUNCTION("GOOGLETRANSLATE($I219, ""de"", ""en"")"),"NO SALARY DATA")</f>
        <v>NO SALARY DATA</v>
      </c>
      <c r="K219" s="7" t="s">
        <v>261</v>
      </c>
      <c r="L219" s="7" t="s">
        <v>843</v>
      </c>
      <c r="M219" s="7" t="s">
        <v>263</v>
      </c>
      <c r="N219" s="7" t="s">
        <v>260</v>
      </c>
      <c r="O219" s="7"/>
      <c r="P219" s="35"/>
      <c r="Q219" s="7"/>
    </row>
    <row r="220">
      <c r="A220" s="7">
        <v>215.0</v>
      </c>
      <c r="B220" s="7" t="s">
        <v>265</v>
      </c>
      <c r="C220" s="7" t="str">
        <f>IFERROR(__xludf.DUMMYFUNCTION("GOOGLETRANSLATE($B220, $A$2, $B$2)"),"More than 30 days ago")</f>
        <v>More than 30 days ago</v>
      </c>
      <c r="D220" s="7" t="s">
        <v>844</v>
      </c>
      <c r="E220" s="7" t="s">
        <v>280</v>
      </c>
      <c r="F220" s="7" t="s">
        <v>845</v>
      </c>
      <c r="G220" s="7" t="s">
        <v>260</v>
      </c>
      <c r="H220" s="7" t="s">
        <v>261</v>
      </c>
      <c r="I220" s="7" t="s">
        <v>261</v>
      </c>
      <c r="J220" s="7" t="str">
        <f>IFERROR(__xludf.DUMMYFUNCTION("GOOGLETRANSLATE($I220, ""de"", ""en"")"),"NO SALARY DATA")</f>
        <v>NO SALARY DATA</v>
      </c>
      <c r="K220" s="7" t="s">
        <v>261</v>
      </c>
      <c r="L220" s="7" t="s">
        <v>756</v>
      </c>
      <c r="M220" s="7" t="s">
        <v>263</v>
      </c>
      <c r="N220" s="7" t="s">
        <v>331</v>
      </c>
      <c r="O220" s="7"/>
      <c r="P220" s="35"/>
      <c r="Q220" s="7"/>
    </row>
    <row r="221">
      <c r="A221" s="7">
        <v>216.0</v>
      </c>
      <c r="B221" s="7" t="s">
        <v>265</v>
      </c>
      <c r="C221" s="7" t="str">
        <f>IFERROR(__xludf.DUMMYFUNCTION("GOOGLETRANSLATE($B221, $A$2, $B$2)"),"More than 30 days ago")</f>
        <v>More than 30 days ago</v>
      </c>
      <c r="D221" s="7" t="s">
        <v>846</v>
      </c>
      <c r="E221" s="7" t="s">
        <v>343</v>
      </c>
      <c r="F221" s="7" t="s">
        <v>506</v>
      </c>
      <c r="G221" s="7" t="s">
        <v>260</v>
      </c>
      <c r="H221" s="7" t="s">
        <v>261</v>
      </c>
      <c r="I221" s="7" t="s">
        <v>261</v>
      </c>
      <c r="J221" s="7" t="str">
        <f>IFERROR(__xludf.DUMMYFUNCTION("GOOGLETRANSLATE($I221, ""de"", ""en"")"),"NO SALARY DATA")</f>
        <v>NO SALARY DATA</v>
      </c>
      <c r="K221" s="7" t="s">
        <v>261</v>
      </c>
      <c r="L221" s="7" t="s">
        <v>551</v>
      </c>
      <c r="M221" s="7" t="s">
        <v>263</v>
      </c>
      <c r="N221" s="7" t="s">
        <v>507</v>
      </c>
      <c r="O221" s="7"/>
      <c r="P221" s="37"/>
      <c r="Q221" s="7"/>
    </row>
    <row r="222">
      <c r="A222" s="7">
        <v>217.0</v>
      </c>
      <c r="B222" s="7" t="s">
        <v>265</v>
      </c>
      <c r="C222" s="7" t="str">
        <f>IFERROR(__xludf.DUMMYFUNCTION("GOOGLETRANSLATE($B222, $A$2, $B$2)"),"More than 30 days ago")</f>
        <v>More than 30 days ago</v>
      </c>
      <c r="D222" s="7" t="s">
        <v>847</v>
      </c>
      <c r="E222" s="7" t="s">
        <v>271</v>
      </c>
      <c r="F222" s="7" t="s">
        <v>848</v>
      </c>
      <c r="G222" s="7" t="s">
        <v>260</v>
      </c>
      <c r="H222" s="7" t="s">
        <v>261</v>
      </c>
      <c r="I222" s="7" t="s">
        <v>261</v>
      </c>
      <c r="J222" s="7" t="str">
        <f>IFERROR(__xludf.DUMMYFUNCTION("GOOGLETRANSLATE($I222, ""de"", ""en"")"),"NO SALARY DATA")</f>
        <v>NO SALARY DATA</v>
      </c>
      <c r="K222" s="7" t="s">
        <v>261</v>
      </c>
      <c r="L222" s="7" t="s">
        <v>441</v>
      </c>
      <c r="M222" s="7" t="s">
        <v>263</v>
      </c>
      <c r="N222" s="7" t="s">
        <v>260</v>
      </c>
      <c r="O222" s="7"/>
      <c r="P222" s="35"/>
      <c r="Q222" s="7"/>
    </row>
    <row r="223">
      <c r="A223" s="7">
        <v>218.0</v>
      </c>
      <c r="B223" s="7" t="s">
        <v>265</v>
      </c>
      <c r="C223" s="7" t="str">
        <f>IFERROR(__xludf.DUMMYFUNCTION("GOOGLETRANSLATE($B223, $A$2, $B$2)"),"More than 30 days ago")</f>
        <v>More than 30 days ago</v>
      </c>
      <c r="D223" s="7" t="s">
        <v>849</v>
      </c>
      <c r="E223" s="7" t="s">
        <v>352</v>
      </c>
      <c r="F223" s="7" t="s">
        <v>850</v>
      </c>
      <c r="G223" s="7" t="s">
        <v>260</v>
      </c>
      <c r="H223" s="7" t="s">
        <v>261</v>
      </c>
      <c r="I223" s="7" t="s">
        <v>261</v>
      </c>
      <c r="J223" s="7" t="str">
        <f>IFERROR(__xludf.DUMMYFUNCTION("GOOGLETRANSLATE($I223, ""de"", ""en"")"),"NO SALARY DATA")</f>
        <v>NO SALARY DATA</v>
      </c>
      <c r="K223" s="7" t="s">
        <v>261</v>
      </c>
      <c r="L223" s="7" t="s">
        <v>666</v>
      </c>
      <c r="M223" s="7" t="s">
        <v>263</v>
      </c>
      <c r="N223" s="7" t="s">
        <v>275</v>
      </c>
      <c r="O223" s="7"/>
      <c r="P223" s="35"/>
      <c r="Q223" s="7"/>
    </row>
    <row r="224">
      <c r="A224" s="7">
        <v>219.0</v>
      </c>
      <c r="B224" s="7" t="s">
        <v>324</v>
      </c>
      <c r="C224" s="7" t="str">
        <f>IFERROR(__xludf.DUMMYFUNCTION("GOOGLETRANSLATE($B224, $A$2, $B$2)"),"3 days ago")</f>
        <v>3 days ago</v>
      </c>
      <c r="D224" s="7" t="s">
        <v>851</v>
      </c>
      <c r="E224" s="7" t="s">
        <v>343</v>
      </c>
      <c r="F224" s="7" t="s">
        <v>454</v>
      </c>
      <c r="G224" s="7" t="s">
        <v>260</v>
      </c>
      <c r="H224" s="7" t="s">
        <v>261</v>
      </c>
      <c r="I224" s="7" t="s">
        <v>261</v>
      </c>
      <c r="J224" s="7" t="str">
        <f>IFERROR(__xludf.DUMMYFUNCTION("GOOGLETRANSLATE($I224, ""de"", ""en"")"),"NO SALARY DATA")</f>
        <v>NO SALARY DATA</v>
      </c>
      <c r="K224" s="7" t="s">
        <v>261</v>
      </c>
      <c r="L224" s="7" t="s">
        <v>852</v>
      </c>
      <c r="M224" s="7" t="s">
        <v>263</v>
      </c>
      <c r="N224" s="7" t="s">
        <v>331</v>
      </c>
      <c r="O224" s="7"/>
      <c r="P224" s="35"/>
      <c r="Q224" s="7"/>
    </row>
    <row r="225">
      <c r="A225" s="7">
        <v>220.0</v>
      </c>
      <c r="B225" s="7" t="s">
        <v>332</v>
      </c>
      <c r="C225" s="7" t="str">
        <f>IFERROR(__xludf.DUMMYFUNCTION("GOOGLETRANSLATE($B225, $A$2, $B$2)"),"4 days ago")</f>
        <v>4 days ago</v>
      </c>
      <c r="D225" s="7" t="s">
        <v>741</v>
      </c>
      <c r="E225" s="7" t="s">
        <v>258</v>
      </c>
      <c r="F225" s="7" t="s">
        <v>853</v>
      </c>
      <c r="G225" s="7" t="s">
        <v>260</v>
      </c>
      <c r="H225" s="7" t="s">
        <v>261</v>
      </c>
      <c r="I225" s="7" t="s">
        <v>261</v>
      </c>
      <c r="J225" s="7" t="str">
        <f>IFERROR(__xludf.DUMMYFUNCTION("GOOGLETRANSLATE($I225, ""de"", ""en"")"),"NO SALARY DATA")</f>
        <v>NO SALARY DATA</v>
      </c>
      <c r="K225" s="7" t="s">
        <v>261</v>
      </c>
      <c r="L225" s="7" t="s">
        <v>423</v>
      </c>
      <c r="M225" s="7" t="s">
        <v>263</v>
      </c>
      <c r="N225" s="7" t="s">
        <v>434</v>
      </c>
      <c r="O225" s="7"/>
      <c r="P225" s="37"/>
      <c r="Q225" s="7"/>
    </row>
    <row r="226">
      <c r="A226" s="7">
        <v>221.0</v>
      </c>
      <c r="B226" s="7" t="s">
        <v>265</v>
      </c>
      <c r="C226" s="7" t="str">
        <f>IFERROR(__xludf.DUMMYFUNCTION("GOOGLETRANSLATE($B226, $A$2, $B$2)"),"More than 30 days ago")</f>
        <v>More than 30 days ago</v>
      </c>
      <c r="D226" s="7" t="s">
        <v>854</v>
      </c>
      <c r="E226" s="7" t="s">
        <v>280</v>
      </c>
      <c r="F226" s="7" t="s">
        <v>855</v>
      </c>
      <c r="G226" s="7" t="s">
        <v>260</v>
      </c>
      <c r="H226" s="7" t="s">
        <v>261</v>
      </c>
      <c r="I226" s="7" t="s">
        <v>261</v>
      </c>
      <c r="J226" s="7" t="str">
        <f>IFERROR(__xludf.DUMMYFUNCTION("GOOGLETRANSLATE($I226, ""de"", ""en"")"),"NO SALARY DATA")</f>
        <v>NO SALARY DATA</v>
      </c>
      <c r="K226" s="7" t="s">
        <v>261</v>
      </c>
      <c r="L226" s="7" t="s">
        <v>856</v>
      </c>
      <c r="M226" s="7" t="s">
        <v>263</v>
      </c>
      <c r="N226" s="7" t="s">
        <v>260</v>
      </c>
      <c r="O226" s="7"/>
      <c r="P226" s="37"/>
      <c r="Q226" s="7"/>
    </row>
    <row r="227">
      <c r="A227" s="7">
        <v>222.0</v>
      </c>
      <c r="B227" s="7" t="s">
        <v>288</v>
      </c>
      <c r="C227" s="7" t="str">
        <f>IFERROR(__xludf.DUMMYFUNCTION("GOOGLETRANSLATE($B227, $A$2, $B$2)"),"2 days ago")</f>
        <v>2 days ago</v>
      </c>
      <c r="D227" s="7" t="s">
        <v>857</v>
      </c>
      <c r="E227" s="7" t="s">
        <v>858</v>
      </c>
      <c r="F227" s="7" t="s">
        <v>859</v>
      </c>
      <c r="G227" s="7" t="s">
        <v>260</v>
      </c>
      <c r="H227" s="7" t="s">
        <v>261</v>
      </c>
      <c r="I227" s="7" t="s">
        <v>261</v>
      </c>
      <c r="J227" s="7" t="str">
        <f>IFERROR(__xludf.DUMMYFUNCTION("GOOGLETRANSLATE($I227, ""de"", ""en"")"),"NO SALARY DATA")</f>
        <v>NO SALARY DATA</v>
      </c>
      <c r="K227" s="7" t="s">
        <v>261</v>
      </c>
      <c r="L227" s="7" t="s">
        <v>860</v>
      </c>
      <c r="M227" s="7" t="s">
        <v>263</v>
      </c>
      <c r="N227" s="7" t="s">
        <v>260</v>
      </c>
      <c r="O227" s="7"/>
      <c r="P227" s="37"/>
      <c r="Q227" s="7"/>
    </row>
    <row r="228">
      <c r="A228" s="7">
        <v>223.0</v>
      </c>
      <c r="B228" s="7" t="s">
        <v>256</v>
      </c>
      <c r="C228" s="7" t="str">
        <f>IFERROR(__xludf.DUMMYFUNCTION("GOOGLETRANSLATE($B228, $A$2, $B$2)"),"7 days ago")</f>
        <v>7 days ago</v>
      </c>
      <c r="D228" s="7" t="s">
        <v>861</v>
      </c>
      <c r="E228" s="7" t="s">
        <v>258</v>
      </c>
      <c r="F228" s="7" t="s">
        <v>862</v>
      </c>
      <c r="G228" s="7" t="s">
        <v>260</v>
      </c>
      <c r="H228" s="7" t="s">
        <v>261</v>
      </c>
      <c r="I228" s="7" t="s">
        <v>261</v>
      </c>
      <c r="J228" s="7" t="str">
        <f>IFERROR(__xludf.DUMMYFUNCTION("GOOGLETRANSLATE($I228, ""de"", ""en"")"),"NO SALARY DATA")</f>
        <v>NO SALARY DATA</v>
      </c>
      <c r="K228" s="7" t="s">
        <v>261</v>
      </c>
      <c r="L228" s="7" t="s">
        <v>585</v>
      </c>
      <c r="M228" s="7" t="s">
        <v>452</v>
      </c>
      <c r="N228" s="7" t="s">
        <v>260</v>
      </c>
      <c r="O228" s="7"/>
      <c r="P228" s="37"/>
      <c r="Q228" s="7"/>
    </row>
    <row r="229">
      <c r="A229" s="7">
        <v>224.0</v>
      </c>
      <c r="B229" s="7" t="s">
        <v>265</v>
      </c>
      <c r="C229" s="7" t="str">
        <f>IFERROR(__xludf.DUMMYFUNCTION("GOOGLETRANSLATE($B229, $A$2, $B$2)"),"More than 30 days ago")</f>
        <v>More than 30 days ago</v>
      </c>
      <c r="D229" s="7" t="s">
        <v>863</v>
      </c>
      <c r="E229" s="7" t="s">
        <v>348</v>
      </c>
      <c r="F229" s="7" t="s">
        <v>864</v>
      </c>
      <c r="G229" s="7" t="s">
        <v>260</v>
      </c>
      <c r="H229" s="7" t="s">
        <v>261</v>
      </c>
      <c r="I229" s="7" t="s">
        <v>261</v>
      </c>
      <c r="J229" s="7" t="str">
        <f>IFERROR(__xludf.DUMMYFUNCTION("GOOGLETRANSLATE($I229, ""de"", ""en"")"),"NO SALARY DATA")</f>
        <v>NO SALARY DATA</v>
      </c>
      <c r="K229" s="7" t="s">
        <v>261</v>
      </c>
      <c r="L229" s="7" t="s">
        <v>551</v>
      </c>
      <c r="M229" s="7" t="s">
        <v>263</v>
      </c>
      <c r="N229" s="7" t="s">
        <v>260</v>
      </c>
      <c r="O229" s="7"/>
      <c r="P229" s="37"/>
      <c r="Q229" s="7"/>
    </row>
    <row r="230">
      <c r="A230" s="7">
        <v>225.0</v>
      </c>
      <c r="B230" s="7" t="s">
        <v>469</v>
      </c>
      <c r="C230" s="7" t="str">
        <f>IFERROR(__xludf.DUMMYFUNCTION("GOOGLETRANSLATE($B230, $A$2, $B$2)"),"19 days ago")</f>
        <v>19 days ago</v>
      </c>
      <c r="D230" s="7" t="s">
        <v>865</v>
      </c>
      <c r="E230" s="7" t="s">
        <v>866</v>
      </c>
      <c r="F230" s="7" t="s">
        <v>867</v>
      </c>
      <c r="G230" s="7" t="s">
        <v>260</v>
      </c>
      <c r="H230" s="7" t="s">
        <v>261</v>
      </c>
      <c r="I230" s="7" t="s">
        <v>261</v>
      </c>
      <c r="J230" s="7" t="str">
        <f>IFERROR(__xludf.DUMMYFUNCTION("GOOGLETRANSLATE($I230, ""de"", ""en"")"),"NO SALARY DATA")</f>
        <v>NO SALARY DATA</v>
      </c>
      <c r="K230" s="7" t="s">
        <v>261</v>
      </c>
      <c r="L230" s="7" t="s">
        <v>631</v>
      </c>
      <c r="M230" s="7" t="s">
        <v>673</v>
      </c>
      <c r="N230" s="7" t="s">
        <v>260</v>
      </c>
      <c r="O230" s="7"/>
      <c r="P230" s="37"/>
      <c r="Q230" s="7"/>
    </row>
    <row r="231">
      <c r="A231" s="7">
        <v>226.0</v>
      </c>
      <c r="B231" s="7" t="s">
        <v>637</v>
      </c>
      <c r="C231" s="7" t="str">
        <f>IFERROR(__xludf.DUMMYFUNCTION("GOOGLETRANSLATE($B231, $A$2, $B$2)"),"17 days ago")</f>
        <v>17 days ago</v>
      </c>
      <c r="D231" s="7" t="s">
        <v>868</v>
      </c>
      <c r="E231" s="7" t="s">
        <v>343</v>
      </c>
      <c r="F231" s="7" t="s">
        <v>869</v>
      </c>
      <c r="G231" s="7" t="s">
        <v>870</v>
      </c>
      <c r="H231" s="7">
        <v>60000.0</v>
      </c>
      <c r="I231" s="7" t="s">
        <v>384</v>
      </c>
      <c r="J231" s="7" t="str">
        <f>IFERROR(__xludf.DUMMYFUNCTION("GOOGLETRANSLATE($I231, ""de"", ""en"")"),"year")</f>
        <v>year</v>
      </c>
      <c r="K231" s="7">
        <v>60000.0</v>
      </c>
      <c r="L231" s="7" t="s">
        <v>871</v>
      </c>
      <c r="M231" s="7" t="s">
        <v>263</v>
      </c>
      <c r="N231" s="7" t="s">
        <v>260</v>
      </c>
      <c r="O231" s="7"/>
      <c r="P231" s="37"/>
      <c r="Q231" s="7"/>
    </row>
    <row r="232">
      <c r="A232" s="7">
        <v>227.0</v>
      </c>
      <c r="B232" s="7" t="s">
        <v>265</v>
      </c>
      <c r="C232" s="7" t="str">
        <f>IFERROR(__xludf.DUMMYFUNCTION("GOOGLETRANSLATE($B232, $A$2, $B$2)"),"More than 30 days ago")</f>
        <v>More than 30 days ago</v>
      </c>
      <c r="D232" s="7" t="s">
        <v>872</v>
      </c>
      <c r="E232" s="7" t="s">
        <v>348</v>
      </c>
      <c r="F232" s="7" t="s">
        <v>873</v>
      </c>
      <c r="G232" s="7" t="s">
        <v>260</v>
      </c>
      <c r="H232" s="7" t="s">
        <v>261</v>
      </c>
      <c r="I232" s="7" t="s">
        <v>261</v>
      </c>
      <c r="J232" s="7" t="str">
        <f>IFERROR(__xludf.DUMMYFUNCTION("GOOGLETRANSLATE($I232, ""de"", ""en"")"),"NO SALARY DATA")</f>
        <v>NO SALARY DATA</v>
      </c>
      <c r="K232" s="7" t="s">
        <v>261</v>
      </c>
      <c r="L232" s="7" t="s">
        <v>830</v>
      </c>
      <c r="M232" s="7" t="s">
        <v>263</v>
      </c>
      <c r="N232" s="7" t="s">
        <v>260</v>
      </c>
      <c r="O232" s="7"/>
      <c r="P232" s="35"/>
      <c r="Q232" s="7"/>
    </row>
    <row r="233">
      <c r="A233" s="7">
        <v>228.0</v>
      </c>
      <c r="B233" s="7" t="s">
        <v>265</v>
      </c>
      <c r="C233" s="7" t="str">
        <f>IFERROR(__xludf.DUMMYFUNCTION("GOOGLETRANSLATE($B233, $A$2, $B$2)"),"More than 30 days ago")</f>
        <v>More than 30 days ago</v>
      </c>
      <c r="D233" s="7" t="s">
        <v>874</v>
      </c>
      <c r="E233" s="7" t="s">
        <v>271</v>
      </c>
      <c r="F233" s="7" t="s">
        <v>397</v>
      </c>
      <c r="G233" s="7" t="s">
        <v>260</v>
      </c>
      <c r="H233" s="7" t="s">
        <v>261</v>
      </c>
      <c r="I233" s="7" t="s">
        <v>261</v>
      </c>
      <c r="J233" s="7" t="str">
        <f>IFERROR(__xludf.DUMMYFUNCTION("GOOGLETRANSLATE($I233, ""de"", ""en"")"),"NO SALARY DATA")</f>
        <v>NO SALARY DATA</v>
      </c>
      <c r="K233" s="7" t="s">
        <v>261</v>
      </c>
      <c r="L233" s="7" t="s">
        <v>875</v>
      </c>
      <c r="M233" s="7" t="s">
        <v>263</v>
      </c>
      <c r="N233" s="7" t="s">
        <v>399</v>
      </c>
      <c r="O233" s="7"/>
      <c r="P233" s="37"/>
      <c r="Q233" s="7"/>
    </row>
    <row r="234">
      <c r="A234" s="7">
        <v>229.0</v>
      </c>
      <c r="B234" s="7" t="s">
        <v>379</v>
      </c>
      <c r="C234" s="7" t="str">
        <f>IFERROR(__xludf.DUMMYFUNCTION("GOOGLETRANSLATE($B234, $A$2, $B$2)"),"13 days ago")</f>
        <v>13 days ago</v>
      </c>
      <c r="D234" s="7" t="s">
        <v>876</v>
      </c>
      <c r="E234" s="7" t="s">
        <v>280</v>
      </c>
      <c r="F234" s="7" t="s">
        <v>877</v>
      </c>
      <c r="G234" s="7" t="s">
        <v>260</v>
      </c>
      <c r="H234" s="7" t="s">
        <v>261</v>
      </c>
      <c r="I234" s="7" t="s">
        <v>261</v>
      </c>
      <c r="J234" s="7" t="str">
        <f>IFERROR(__xludf.DUMMYFUNCTION("GOOGLETRANSLATE($I234, ""de"", ""en"")"),"NO SALARY DATA")</f>
        <v>NO SALARY DATA</v>
      </c>
      <c r="K234" s="7" t="s">
        <v>261</v>
      </c>
      <c r="L234" s="7" t="s">
        <v>806</v>
      </c>
      <c r="M234" s="7" t="s">
        <v>263</v>
      </c>
      <c r="N234" s="7" t="s">
        <v>260</v>
      </c>
      <c r="O234" s="7"/>
      <c r="P234" s="37"/>
      <c r="Q234" s="7"/>
    </row>
    <row r="235">
      <c r="A235" s="7">
        <v>230.0</v>
      </c>
      <c r="B235" s="7" t="s">
        <v>265</v>
      </c>
      <c r="C235" s="7" t="str">
        <f>IFERROR(__xludf.DUMMYFUNCTION("GOOGLETRANSLATE($B235, $A$2, $B$2)"),"More than 30 days ago")</f>
        <v>More than 30 days ago</v>
      </c>
      <c r="D235" s="7" t="s">
        <v>878</v>
      </c>
      <c r="E235" s="7" t="s">
        <v>343</v>
      </c>
      <c r="F235" s="7" t="s">
        <v>879</v>
      </c>
      <c r="G235" s="7" t="s">
        <v>260</v>
      </c>
      <c r="H235" s="7" t="s">
        <v>261</v>
      </c>
      <c r="I235" s="7" t="s">
        <v>261</v>
      </c>
      <c r="J235" s="7" t="str">
        <f>IFERROR(__xludf.DUMMYFUNCTION("GOOGLETRANSLATE($I235, ""de"", ""en"")"),"NO SALARY DATA")</f>
        <v>NO SALARY DATA</v>
      </c>
      <c r="K235" s="7" t="s">
        <v>261</v>
      </c>
      <c r="L235" s="7" t="s">
        <v>423</v>
      </c>
      <c r="M235" s="7" t="s">
        <v>263</v>
      </c>
      <c r="N235" s="7" t="s">
        <v>260</v>
      </c>
      <c r="O235" s="7"/>
      <c r="P235" s="37"/>
      <c r="Q235" s="7"/>
    </row>
    <row r="236">
      <c r="A236" s="7">
        <v>231.0</v>
      </c>
      <c r="B236" s="7" t="s">
        <v>265</v>
      </c>
      <c r="C236" s="7" t="str">
        <f>IFERROR(__xludf.DUMMYFUNCTION("GOOGLETRANSLATE($B236, $A$2, $B$2)"),"More than 30 days ago")</f>
        <v>More than 30 days ago</v>
      </c>
      <c r="D236" s="7" t="s">
        <v>668</v>
      </c>
      <c r="E236" s="7" t="s">
        <v>258</v>
      </c>
      <c r="F236" s="7" t="s">
        <v>880</v>
      </c>
      <c r="G236" s="7" t="s">
        <v>260</v>
      </c>
      <c r="H236" s="7" t="s">
        <v>261</v>
      </c>
      <c r="I236" s="7" t="s">
        <v>261</v>
      </c>
      <c r="J236" s="7" t="str">
        <f>IFERROR(__xludf.DUMMYFUNCTION("GOOGLETRANSLATE($I236, ""de"", ""en"")"),"NO SALARY DATA")</f>
        <v>NO SALARY DATA</v>
      </c>
      <c r="K236" s="7" t="s">
        <v>261</v>
      </c>
      <c r="L236" s="7" t="s">
        <v>425</v>
      </c>
      <c r="M236" s="7" t="s">
        <v>263</v>
      </c>
      <c r="N236" s="7" t="s">
        <v>260</v>
      </c>
      <c r="O236" s="7"/>
      <c r="P236" s="35"/>
      <c r="Q236" s="7"/>
    </row>
    <row r="237">
      <c r="A237" s="7">
        <v>232.0</v>
      </c>
      <c r="B237" s="7" t="s">
        <v>265</v>
      </c>
      <c r="C237" s="7" t="str">
        <f>IFERROR(__xludf.DUMMYFUNCTION("GOOGLETRANSLATE($B237, $A$2, $B$2)"),"More than 30 days ago")</f>
        <v>More than 30 days ago</v>
      </c>
      <c r="D237" s="7" t="s">
        <v>881</v>
      </c>
      <c r="E237" s="7" t="s">
        <v>280</v>
      </c>
      <c r="F237" s="7" t="s">
        <v>329</v>
      </c>
      <c r="G237" s="7" t="s">
        <v>260</v>
      </c>
      <c r="H237" s="7" t="s">
        <v>261</v>
      </c>
      <c r="I237" s="7" t="s">
        <v>261</v>
      </c>
      <c r="J237" s="7" t="str">
        <f>IFERROR(__xludf.DUMMYFUNCTION("GOOGLETRANSLATE($I237, ""de"", ""en"")"),"NO SALARY DATA")</f>
        <v>NO SALARY DATA</v>
      </c>
      <c r="K237" s="7" t="s">
        <v>261</v>
      </c>
      <c r="L237" s="7" t="s">
        <v>756</v>
      </c>
      <c r="M237" s="7" t="s">
        <v>263</v>
      </c>
      <c r="N237" s="7" t="s">
        <v>331</v>
      </c>
      <c r="O237" s="7"/>
      <c r="P237" s="37"/>
      <c r="Q237" s="7"/>
    </row>
    <row r="238">
      <c r="A238" s="7">
        <v>233.0</v>
      </c>
      <c r="B238" s="7" t="s">
        <v>265</v>
      </c>
      <c r="C238" s="7" t="str">
        <f>IFERROR(__xludf.DUMMYFUNCTION("GOOGLETRANSLATE($B238, $A$2, $B$2)"),"More than 30 days ago")</f>
        <v>More than 30 days ago</v>
      </c>
      <c r="D238" s="7" t="s">
        <v>882</v>
      </c>
      <c r="E238" s="7" t="s">
        <v>408</v>
      </c>
      <c r="F238" s="7" t="s">
        <v>883</v>
      </c>
      <c r="G238" s="7" t="s">
        <v>260</v>
      </c>
      <c r="H238" s="7" t="s">
        <v>261</v>
      </c>
      <c r="I238" s="7" t="s">
        <v>261</v>
      </c>
      <c r="J238" s="7" t="str">
        <f>IFERROR(__xludf.DUMMYFUNCTION("GOOGLETRANSLATE($I238, ""de"", ""en"")"),"NO SALARY DATA")</f>
        <v>NO SALARY DATA</v>
      </c>
      <c r="K238" s="7" t="s">
        <v>261</v>
      </c>
      <c r="L238" s="7"/>
      <c r="M238" s="7" t="s">
        <v>884</v>
      </c>
      <c r="N238" s="7" t="s">
        <v>260</v>
      </c>
      <c r="O238" s="7"/>
      <c r="P238" s="35"/>
      <c r="Q238" s="7"/>
    </row>
    <row r="239">
      <c r="A239" s="7">
        <v>234.0</v>
      </c>
      <c r="B239" s="7" t="s">
        <v>392</v>
      </c>
      <c r="C239" s="7" t="str">
        <f>IFERROR(__xludf.DUMMYFUNCTION("GOOGLETRANSLATE($B239, $A$2, $B$2)"),"10 days ago")</f>
        <v>10 days ago</v>
      </c>
      <c r="D239" s="7" t="s">
        <v>885</v>
      </c>
      <c r="E239" s="7" t="s">
        <v>280</v>
      </c>
      <c r="F239" s="7" t="s">
        <v>886</v>
      </c>
      <c r="G239" s="7" t="s">
        <v>260</v>
      </c>
      <c r="H239" s="7" t="s">
        <v>261</v>
      </c>
      <c r="I239" s="7" t="s">
        <v>261</v>
      </c>
      <c r="J239" s="7" t="str">
        <f>IFERROR(__xludf.DUMMYFUNCTION("GOOGLETRANSLATE($I239, ""de"", ""en"")"),"NO SALARY DATA")</f>
        <v>NO SALARY DATA</v>
      </c>
      <c r="K239" s="7" t="s">
        <v>261</v>
      </c>
      <c r="L239" s="7" t="s">
        <v>887</v>
      </c>
      <c r="M239" s="7" t="s">
        <v>263</v>
      </c>
      <c r="N239" s="7" t="s">
        <v>275</v>
      </c>
      <c r="O239" s="7"/>
      <c r="P239" s="35"/>
      <c r="Q239" s="7"/>
    </row>
    <row r="240">
      <c r="A240" s="7">
        <v>235.0</v>
      </c>
      <c r="B240" s="7" t="s">
        <v>332</v>
      </c>
      <c r="C240" s="7" t="str">
        <f>IFERROR(__xludf.DUMMYFUNCTION("GOOGLETRANSLATE($B240, $A$2, $B$2)"),"4 days ago")</f>
        <v>4 days ago</v>
      </c>
      <c r="D240" s="7" t="s">
        <v>888</v>
      </c>
      <c r="E240" s="7" t="s">
        <v>258</v>
      </c>
      <c r="F240" s="7" t="s">
        <v>889</v>
      </c>
      <c r="G240" s="7" t="s">
        <v>260</v>
      </c>
      <c r="H240" s="7" t="s">
        <v>261</v>
      </c>
      <c r="I240" s="7" t="s">
        <v>261</v>
      </c>
      <c r="J240" s="7" t="str">
        <f>IFERROR(__xludf.DUMMYFUNCTION("GOOGLETRANSLATE($I240, ""de"", ""en"")"),"NO SALARY DATA")</f>
        <v>NO SALARY DATA</v>
      </c>
      <c r="K240" s="7" t="s">
        <v>261</v>
      </c>
      <c r="L240" s="7" t="s">
        <v>833</v>
      </c>
      <c r="M240" s="7" t="s">
        <v>263</v>
      </c>
      <c r="N240" s="7" t="s">
        <v>491</v>
      </c>
      <c r="O240" s="7"/>
      <c r="P240" s="37"/>
      <c r="Q240" s="7"/>
    </row>
    <row r="241">
      <c r="A241" s="7">
        <v>236.0</v>
      </c>
      <c r="B241" s="7" t="s">
        <v>324</v>
      </c>
      <c r="C241" s="7" t="str">
        <f>IFERROR(__xludf.DUMMYFUNCTION("GOOGLETRANSLATE($B241, $A$2, $B$2)"),"3 days ago")</f>
        <v>3 days ago</v>
      </c>
      <c r="D241" s="7" t="s">
        <v>890</v>
      </c>
      <c r="E241" s="7" t="s">
        <v>258</v>
      </c>
      <c r="F241" s="7" t="s">
        <v>891</v>
      </c>
      <c r="G241" s="7" t="s">
        <v>260</v>
      </c>
      <c r="H241" s="7" t="s">
        <v>261</v>
      </c>
      <c r="I241" s="7" t="s">
        <v>261</v>
      </c>
      <c r="J241" s="7" t="str">
        <f>IFERROR(__xludf.DUMMYFUNCTION("GOOGLETRANSLATE($I241, ""de"", ""en"")"),"NO SALARY DATA")</f>
        <v>NO SALARY DATA</v>
      </c>
      <c r="K241" s="7" t="s">
        <v>261</v>
      </c>
      <c r="L241" s="7" t="s">
        <v>425</v>
      </c>
      <c r="M241" s="7" t="s">
        <v>263</v>
      </c>
      <c r="N241" s="7" t="s">
        <v>260</v>
      </c>
      <c r="O241" s="7"/>
      <c r="P241" s="37"/>
      <c r="Q241" s="7"/>
    </row>
    <row r="242">
      <c r="A242" s="7">
        <v>237.0</v>
      </c>
      <c r="B242" s="7" t="s">
        <v>358</v>
      </c>
      <c r="C242" s="7" t="str">
        <f>IFERROR(__xludf.DUMMYFUNCTION("GOOGLETRANSLATE($B242, $A$2, $B$2)"),"28 days ago")</f>
        <v>28 days ago</v>
      </c>
      <c r="D242" s="7" t="s">
        <v>807</v>
      </c>
      <c r="E242" s="7" t="s">
        <v>352</v>
      </c>
      <c r="F242" s="7" t="s">
        <v>808</v>
      </c>
      <c r="G242" s="7" t="s">
        <v>260</v>
      </c>
      <c r="H242" s="7" t="s">
        <v>261</v>
      </c>
      <c r="I242" s="7" t="s">
        <v>261</v>
      </c>
      <c r="J242" s="7" t="str">
        <f>IFERROR(__xludf.DUMMYFUNCTION("GOOGLETRANSLATE($I242, ""de"", ""en"")"),"NO SALARY DATA")</f>
        <v>NO SALARY DATA</v>
      </c>
      <c r="K242" s="7" t="s">
        <v>261</v>
      </c>
      <c r="L242" s="7" t="s">
        <v>425</v>
      </c>
      <c r="M242" s="7" t="s">
        <v>263</v>
      </c>
      <c r="N242" s="7" t="s">
        <v>260</v>
      </c>
      <c r="O242" s="7"/>
      <c r="P242" s="35"/>
      <c r="Q242" s="7"/>
    </row>
    <row r="243">
      <c r="A243" s="7">
        <v>238.0</v>
      </c>
      <c r="B243" s="7" t="s">
        <v>892</v>
      </c>
      <c r="C243" s="7" t="str">
        <f>IFERROR(__xludf.DUMMYFUNCTION("GOOGLETRANSLATE($B243, $A$2, $B$2)"),"25 days ago")</f>
        <v>25 days ago</v>
      </c>
      <c r="D243" s="7" t="s">
        <v>893</v>
      </c>
      <c r="E243" s="7" t="s">
        <v>417</v>
      </c>
      <c r="F243" s="7" t="s">
        <v>894</v>
      </c>
      <c r="G243" s="7" t="s">
        <v>260</v>
      </c>
      <c r="H243" s="7" t="s">
        <v>261</v>
      </c>
      <c r="I243" s="7" t="s">
        <v>261</v>
      </c>
      <c r="J243" s="7" t="str">
        <f>IFERROR(__xludf.DUMMYFUNCTION("GOOGLETRANSLATE($I243, ""de"", ""en"")"),"NO SALARY DATA")</f>
        <v>NO SALARY DATA</v>
      </c>
      <c r="K243" s="7" t="s">
        <v>261</v>
      </c>
      <c r="L243" s="7" t="s">
        <v>312</v>
      </c>
      <c r="M243" s="7" t="s">
        <v>263</v>
      </c>
      <c r="N243" s="7" t="s">
        <v>725</v>
      </c>
      <c r="O243" s="7"/>
      <c r="P243" s="37"/>
      <c r="Q243" s="7"/>
    </row>
    <row r="244">
      <c r="A244" s="7">
        <v>239.0</v>
      </c>
      <c r="B244" s="7" t="s">
        <v>508</v>
      </c>
      <c r="C244" s="7" t="str">
        <f>IFERROR(__xludf.DUMMYFUNCTION("GOOGLETRANSLATE($B244, $A$2, $B$2)"),"24 days ago")</f>
        <v>24 days ago</v>
      </c>
      <c r="D244" s="7" t="s">
        <v>846</v>
      </c>
      <c r="E244" s="7" t="s">
        <v>629</v>
      </c>
      <c r="F244" s="7" t="s">
        <v>895</v>
      </c>
      <c r="G244" s="7" t="s">
        <v>260</v>
      </c>
      <c r="H244" s="7" t="s">
        <v>261</v>
      </c>
      <c r="I244" s="7" t="s">
        <v>261</v>
      </c>
      <c r="J244" s="7" t="str">
        <f>IFERROR(__xludf.DUMMYFUNCTION("GOOGLETRANSLATE($I244, ""de"", ""en"")"),"NO SALARY DATA")</f>
        <v>NO SALARY DATA</v>
      </c>
      <c r="K244" s="7" t="s">
        <v>261</v>
      </c>
      <c r="L244" s="7" t="s">
        <v>553</v>
      </c>
      <c r="M244" s="7" t="s">
        <v>263</v>
      </c>
      <c r="N244" s="7" t="s">
        <v>260</v>
      </c>
      <c r="O244" s="7"/>
      <c r="P244" s="37"/>
      <c r="Q244" s="7"/>
    </row>
    <row r="245">
      <c r="A245" s="7">
        <v>240.0</v>
      </c>
      <c r="B245" s="7" t="s">
        <v>265</v>
      </c>
      <c r="C245" s="7" t="str">
        <f>IFERROR(__xludf.DUMMYFUNCTION("GOOGLETRANSLATE($B245, $A$2, $B$2)"),"More than 30 days ago")</f>
        <v>More than 30 days ago</v>
      </c>
      <c r="D245" s="7" t="s">
        <v>896</v>
      </c>
      <c r="E245" s="7" t="s">
        <v>258</v>
      </c>
      <c r="F245" s="7" t="s">
        <v>897</v>
      </c>
      <c r="G245" s="7" t="s">
        <v>260</v>
      </c>
      <c r="H245" s="7" t="s">
        <v>261</v>
      </c>
      <c r="I245" s="7" t="s">
        <v>261</v>
      </c>
      <c r="J245" s="7" t="str">
        <f>IFERROR(__xludf.DUMMYFUNCTION("GOOGLETRANSLATE($I245, ""de"", ""en"")"),"NO SALARY DATA")</f>
        <v>NO SALARY DATA</v>
      </c>
      <c r="K245" s="7" t="s">
        <v>261</v>
      </c>
      <c r="L245" s="7" t="s">
        <v>490</v>
      </c>
      <c r="M245" s="7" t="s">
        <v>263</v>
      </c>
      <c r="N245" s="7" t="s">
        <v>260</v>
      </c>
      <c r="O245" s="7"/>
      <c r="P245" s="35"/>
      <c r="Q245" s="7"/>
    </row>
    <row r="246">
      <c r="A246" s="7">
        <v>241.0</v>
      </c>
      <c r="B246" s="7" t="s">
        <v>508</v>
      </c>
      <c r="C246" s="7" t="str">
        <f>IFERROR(__xludf.DUMMYFUNCTION("GOOGLETRANSLATE($B246, $A$2, $B$2)"),"24 days ago")</f>
        <v>24 days ago</v>
      </c>
      <c r="D246" s="7" t="s">
        <v>898</v>
      </c>
      <c r="E246" s="7" t="s">
        <v>348</v>
      </c>
      <c r="F246" s="7" t="s">
        <v>642</v>
      </c>
      <c r="G246" s="7" t="s">
        <v>260</v>
      </c>
      <c r="H246" s="7" t="s">
        <v>261</v>
      </c>
      <c r="I246" s="7" t="s">
        <v>261</v>
      </c>
      <c r="J246" s="7" t="str">
        <f>IFERROR(__xludf.DUMMYFUNCTION("GOOGLETRANSLATE($I246, ""de"", ""en"")"),"NO SALARY DATA")</f>
        <v>NO SALARY DATA</v>
      </c>
      <c r="K246" s="7" t="s">
        <v>261</v>
      </c>
      <c r="L246" s="7" t="s">
        <v>286</v>
      </c>
      <c r="M246" s="7" t="s">
        <v>263</v>
      </c>
      <c r="N246" s="7" t="s">
        <v>275</v>
      </c>
      <c r="O246" s="7"/>
      <c r="P246" s="37"/>
      <c r="Q246" s="7"/>
    </row>
    <row r="247">
      <c r="A247" s="7">
        <v>242.0</v>
      </c>
      <c r="B247" s="7" t="s">
        <v>265</v>
      </c>
      <c r="C247" s="7" t="str">
        <f>IFERROR(__xludf.DUMMYFUNCTION("GOOGLETRANSLATE($B247, $A$2, $B$2)"),"More than 30 days ago")</f>
        <v>More than 30 days ago</v>
      </c>
      <c r="D247" s="7" t="s">
        <v>899</v>
      </c>
      <c r="E247" s="7" t="s">
        <v>280</v>
      </c>
      <c r="F247" s="7" t="s">
        <v>900</v>
      </c>
      <c r="G247" s="7" t="s">
        <v>260</v>
      </c>
      <c r="H247" s="7" t="s">
        <v>261</v>
      </c>
      <c r="I247" s="7" t="s">
        <v>261</v>
      </c>
      <c r="J247" s="7" t="str">
        <f>IFERROR(__xludf.DUMMYFUNCTION("GOOGLETRANSLATE($I247, ""de"", ""en"")"),"NO SALARY DATA")</f>
        <v>NO SALARY DATA</v>
      </c>
      <c r="K247" s="7" t="s">
        <v>261</v>
      </c>
      <c r="L247" s="7"/>
      <c r="M247" s="7" t="s">
        <v>263</v>
      </c>
      <c r="N247" s="7" t="s">
        <v>260</v>
      </c>
      <c r="O247" s="7"/>
      <c r="P247" s="35"/>
      <c r="Q247" s="7"/>
    </row>
    <row r="248">
      <c r="A248" s="7">
        <v>243.0</v>
      </c>
      <c r="B248" s="7" t="s">
        <v>324</v>
      </c>
      <c r="C248" s="7" t="str">
        <f>IFERROR(__xludf.DUMMYFUNCTION("GOOGLETRANSLATE($B248, $A$2, $B$2)"),"3 days ago")</f>
        <v>3 days ago</v>
      </c>
      <c r="D248" s="7" t="s">
        <v>901</v>
      </c>
      <c r="E248" s="7" t="s">
        <v>516</v>
      </c>
      <c r="F248" s="7" t="s">
        <v>517</v>
      </c>
      <c r="G248" s="7" t="s">
        <v>260</v>
      </c>
      <c r="H248" s="7" t="s">
        <v>261</v>
      </c>
      <c r="I248" s="7" t="s">
        <v>261</v>
      </c>
      <c r="J248" s="7" t="str">
        <f>IFERROR(__xludf.DUMMYFUNCTION("GOOGLETRANSLATE($I248, ""de"", ""en"")"),"NO SALARY DATA")</f>
        <v>NO SALARY DATA</v>
      </c>
      <c r="K248" s="7" t="s">
        <v>261</v>
      </c>
      <c r="L248" s="7" t="s">
        <v>902</v>
      </c>
      <c r="M248" s="7" t="s">
        <v>322</v>
      </c>
      <c r="N248" s="7" t="s">
        <v>275</v>
      </c>
      <c r="O248" s="7"/>
      <c r="P248" s="35"/>
      <c r="Q248" s="7"/>
    </row>
    <row r="249">
      <c r="A249" s="7">
        <v>244.0</v>
      </c>
      <c r="B249" s="7" t="s">
        <v>265</v>
      </c>
      <c r="C249" s="7" t="str">
        <f>IFERROR(__xludf.DUMMYFUNCTION("GOOGLETRANSLATE($B249, $A$2, $B$2)"),"More than 30 days ago")</f>
        <v>More than 30 days ago</v>
      </c>
      <c r="D249" s="7" t="s">
        <v>903</v>
      </c>
      <c r="E249" s="7" t="s">
        <v>271</v>
      </c>
      <c r="F249" s="7" t="s">
        <v>904</v>
      </c>
      <c r="G249" s="7" t="s">
        <v>260</v>
      </c>
      <c r="H249" s="7" t="s">
        <v>261</v>
      </c>
      <c r="I249" s="7" t="s">
        <v>261</v>
      </c>
      <c r="J249" s="7" t="str">
        <f>IFERROR(__xludf.DUMMYFUNCTION("GOOGLETRANSLATE($I249, ""de"", ""en"")"),"NO SALARY DATA")</f>
        <v>NO SALARY DATA</v>
      </c>
      <c r="K249" s="7" t="s">
        <v>261</v>
      </c>
      <c r="L249" s="7" t="s">
        <v>423</v>
      </c>
      <c r="M249" s="7" t="s">
        <v>263</v>
      </c>
      <c r="N249" s="7" t="s">
        <v>336</v>
      </c>
      <c r="O249" s="7"/>
      <c r="P249" s="37"/>
      <c r="Q249" s="7"/>
    </row>
    <row r="250">
      <c r="A250" s="7">
        <v>245.0</v>
      </c>
      <c r="B250" s="7" t="s">
        <v>637</v>
      </c>
      <c r="C250" s="7" t="str">
        <f>IFERROR(__xludf.DUMMYFUNCTION("GOOGLETRANSLATE($B250, $A$2, $B$2)"),"17 days ago")</f>
        <v>17 days ago</v>
      </c>
      <c r="D250" s="7" t="s">
        <v>905</v>
      </c>
      <c r="E250" s="7" t="s">
        <v>258</v>
      </c>
      <c r="F250" s="7" t="s">
        <v>906</v>
      </c>
      <c r="G250" s="7" t="s">
        <v>260</v>
      </c>
      <c r="H250" s="7" t="s">
        <v>261</v>
      </c>
      <c r="I250" s="7" t="s">
        <v>261</v>
      </c>
      <c r="J250" s="7" t="str">
        <f>IFERROR(__xludf.DUMMYFUNCTION("GOOGLETRANSLATE($I250, ""de"", ""en"")"),"NO SALARY DATA")</f>
        <v>NO SALARY DATA</v>
      </c>
      <c r="K250" s="7" t="s">
        <v>261</v>
      </c>
      <c r="L250" s="7" t="s">
        <v>711</v>
      </c>
      <c r="M250" s="7" t="s">
        <v>673</v>
      </c>
      <c r="N250" s="7" t="s">
        <v>260</v>
      </c>
      <c r="O250" s="7"/>
      <c r="P250" s="37"/>
      <c r="Q250" s="7"/>
    </row>
    <row r="251">
      <c r="A251" s="7">
        <v>246.0</v>
      </c>
      <c r="B251" s="7" t="s">
        <v>265</v>
      </c>
      <c r="C251" s="7" t="str">
        <f>IFERROR(__xludf.DUMMYFUNCTION("GOOGLETRANSLATE($B251, $A$2, $B$2)"),"More than 30 days ago")</f>
        <v>More than 30 days ago</v>
      </c>
      <c r="D251" s="7" t="s">
        <v>907</v>
      </c>
      <c r="E251" s="7" t="s">
        <v>343</v>
      </c>
      <c r="F251" s="7" t="s">
        <v>869</v>
      </c>
      <c r="G251" s="7" t="s">
        <v>870</v>
      </c>
      <c r="H251" s="7">
        <v>60000.0</v>
      </c>
      <c r="I251" s="7" t="s">
        <v>384</v>
      </c>
      <c r="J251" s="7" t="str">
        <f>IFERROR(__xludf.DUMMYFUNCTION("GOOGLETRANSLATE($I251, ""de"", ""en"")"),"year")</f>
        <v>year</v>
      </c>
      <c r="K251" s="7">
        <v>60000.0</v>
      </c>
      <c r="L251" s="7" t="s">
        <v>908</v>
      </c>
      <c r="M251" s="7" t="s">
        <v>263</v>
      </c>
      <c r="N251" s="7" t="s">
        <v>260</v>
      </c>
      <c r="O251" s="7"/>
      <c r="P251" s="35"/>
      <c r="Q251" s="7"/>
    </row>
    <row r="252">
      <c r="A252" s="7">
        <v>247.0</v>
      </c>
      <c r="B252" s="7" t="s">
        <v>324</v>
      </c>
      <c r="C252" s="7" t="str">
        <f>IFERROR(__xludf.DUMMYFUNCTION("GOOGLETRANSLATE($B252, $A$2, $B$2)"),"3 days ago")</f>
        <v>3 days ago</v>
      </c>
      <c r="D252" s="7" t="s">
        <v>909</v>
      </c>
      <c r="E252" s="7" t="s">
        <v>280</v>
      </c>
      <c r="F252" s="7" t="s">
        <v>910</v>
      </c>
      <c r="G252" s="7" t="s">
        <v>260</v>
      </c>
      <c r="H252" s="7" t="s">
        <v>261</v>
      </c>
      <c r="I252" s="7" t="s">
        <v>261</v>
      </c>
      <c r="J252" s="7" t="str">
        <f>IFERROR(__xludf.DUMMYFUNCTION("GOOGLETRANSLATE($I252, ""de"", ""en"")"),"NO SALARY DATA")</f>
        <v>NO SALARY DATA</v>
      </c>
      <c r="K252" s="7" t="s">
        <v>261</v>
      </c>
      <c r="L252" s="7" t="s">
        <v>398</v>
      </c>
      <c r="M252" s="7" t="s">
        <v>263</v>
      </c>
      <c r="N252" s="7" t="s">
        <v>911</v>
      </c>
      <c r="O252" s="7"/>
      <c r="P252" s="35"/>
      <c r="Q252" s="7"/>
    </row>
    <row r="253">
      <c r="A253" s="7">
        <v>248.0</v>
      </c>
      <c r="B253" s="7" t="s">
        <v>392</v>
      </c>
      <c r="C253" s="7" t="str">
        <f>IFERROR(__xludf.DUMMYFUNCTION("GOOGLETRANSLATE($B253, $A$2, $B$2)"),"10 days ago")</f>
        <v>10 days ago</v>
      </c>
      <c r="D253" s="7" t="s">
        <v>912</v>
      </c>
      <c r="E253" s="7" t="s">
        <v>629</v>
      </c>
      <c r="F253" s="7" t="s">
        <v>913</v>
      </c>
      <c r="G253" s="7" t="s">
        <v>260</v>
      </c>
      <c r="H253" s="7" t="s">
        <v>261</v>
      </c>
      <c r="I253" s="7" t="s">
        <v>261</v>
      </c>
      <c r="J253" s="7" t="str">
        <f>IFERROR(__xludf.DUMMYFUNCTION("GOOGLETRANSLATE($I253, ""de"", ""en"")"),"NO SALARY DATA")</f>
        <v>NO SALARY DATA</v>
      </c>
      <c r="K253" s="7" t="s">
        <v>261</v>
      </c>
      <c r="L253" s="7" t="s">
        <v>566</v>
      </c>
      <c r="M253" s="7" t="s">
        <v>287</v>
      </c>
      <c r="N253" s="7" t="s">
        <v>434</v>
      </c>
      <c r="O253" s="7"/>
      <c r="P253" s="35"/>
      <c r="Q253" s="7"/>
    </row>
    <row r="254">
      <c r="A254" s="7">
        <v>249.0</v>
      </c>
      <c r="B254" s="7" t="s">
        <v>346</v>
      </c>
      <c r="C254" s="7" t="str">
        <f>IFERROR(__xludf.DUMMYFUNCTION("GOOGLETRANSLATE($B254, $A$2, $B$2)"),"12 days ago")</f>
        <v>12 days ago</v>
      </c>
      <c r="D254" s="7" t="s">
        <v>586</v>
      </c>
      <c r="E254" s="7" t="s">
        <v>587</v>
      </c>
      <c r="F254" s="7" t="s">
        <v>224</v>
      </c>
      <c r="G254" s="7" t="s">
        <v>260</v>
      </c>
      <c r="H254" s="7" t="s">
        <v>261</v>
      </c>
      <c r="I254" s="7" t="s">
        <v>261</v>
      </c>
      <c r="J254" s="7" t="str">
        <f>IFERROR(__xludf.DUMMYFUNCTION("GOOGLETRANSLATE($I254, ""de"", ""en"")"),"NO SALARY DATA")</f>
        <v>NO SALARY DATA</v>
      </c>
      <c r="K254" s="7" t="s">
        <v>261</v>
      </c>
      <c r="L254" s="7" t="s">
        <v>291</v>
      </c>
      <c r="M254" s="7" t="s">
        <v>322</v>
      </c>
      <c r="N254" s="7" t="s">
        <v>331</v>
      </c>
      <c r="O254" s="7"/>
      <c r="P254" s="37"/>
      <c r="Q254" s="7"/>
    </row>
    <row r="255">
      <c r="A255" s="7">
        <v>250.0</v>
      </c>
      <c r="B255" s="7" t="s">
        <v>256</v>
      </c>
      <c r="C255" s="7" t="str">
        <f>IFERROR(__xludf.DUMMYFUNCTION("GOOGLETRANSLATE($B255, $A$2, $B$2)"),"7 days ago")</f>
        <v>7 days ago</v>
      </c>
      <c r="D255" s="7" t="s">
        <v>914</v>
      </c>
      <c r="E255" s="7" t="s">
        <v>539</v>
      </c>
      <c r="F255" s="7" t="s">
        <v>915</v>
      </c>
      <c r="G255" s="7" t="s">
        <v>260</v>
      </c>
      <c r="H255" s="7" t="s">
        <v>261</v>
      </c>
      <c r="I255" s="7" t="s">
        <v>261</v>
      </c>
      <c r="J255" s="7" t="str">
        <f>IFERROR(__xludf.DUMMYFUNCTION("GOOGLETRANSLATE($I255, ""de"", ""en"")"),"NO SALARY DATA")</f>
        <v>NO SALARY DATA</v>
      </c>
      <c r="K255" s="7" t="s">
        <v>261</v>
      </c>
      <c r="L255" s="7" t="s">
        <v>286</v>
      </c>
      <c r="M255" s="7" t="s">
        <v>263</v>
      </c>
      <c r="N255" s="7" t="s">
        <v>260</v>
      </c>
      <c r="O255" s="7"/>
      <c r="P255" s="37"/>
      <c r="Q255" s="7"/>
    </row>
    <row r="256">
      <c r="A256" s="7">
        <v>251.0</v>
      </c>
      <c r="B256" s="7" t="s">
        <v>508</v>
      </c>
      <c r="C256" s="7" t="str">
        <f>IFERROR(__xludf.DUMMYFUNCTION("GOOGLETRANSLATE($B256, $A$2, $B$2)"),"24 days ago")</f>
        <v>24 days ago</v>
      </c>
      <c r="D256" s="7" t="s">
        <v>916</v>
      </c>
      <c r="E256" s="7" t="s">
        <v>258</v>
      </c>
      <c r="F256" s="7" t="s">
        <v>917</v>
      </c>
      <c r="G256" s="7" t="s">
        <v>260</v>
      </c>
      <c r="H256" s="7" t="s">
        <v>261</v>
      </c>
      <c r="I256" s="7" t="s">
        <v>261</v>
      </c>
      <c r="J256" s="7" t="str">
        <f>IFERROR(__xludf.DUMMYFUNCTION("GOOGLETRANSLATE($I256, ""de"", ""en"")"),"NO SALARY DATA")</f>
        <v>NO SALARY DATA</v>
      </c>
      <c r="K256" s="7" t="s">
        <v>261</v>
      </c>
      <c r="L256" s="7" t="s">
        <v>445</v>
      </c>
      <c r="M256" s="7" t="s">
        <v>263</v>
      </c>
      <c r="N256" s="7" t="s">
        <v>260</v>
      </c>
      <c r="O256" s="7"/>
      <c r="P256" s="35"/>
      <c r="Q256" s="7"/>
    </row>
    <row r="257">
      <c r="A257" s="7">
        <v>252.0</v>
      </c>
      <c r="B257" s="7" t="s">
        <v>265</v>
      </c>
      <c r="C257" s="7" t="str">
        <f>IFERROR(__xludf.DUMMYFUNCTION("GOOGLETRANSLATE($B257, $A$2, $B$2)"),"More than 30 days ago")</f>
        <v>More than 30 days ago</v>
      </c>
      <c r="D257" s="7" t="s">
        <v>918</v>
      </c>
      <c r="E257" s="7" t="s">
        <v>271</v>
      </c>
      <c r="F257" s="7" t="s">
        <v>919</v>
      </c>
      <c r="G257" s="7" t="s">
        <v>260</v>
      </c>
      <c r="H257" s="7" t="s">
        <v>261</v>
      </c>
      <c r="I257" s="7" t="s">
        <v>261</v>
      </c>
      <c r="J257" s="7" t="str">
        <f>IFERROR(__xludf.DUMMYFUNCTION("GOOGLETRANSLATE($I257, ""de"", ""en"")"),"NO SALARY DATA")</f>
        <v>NO SALARY DATA</v>
      </c>
      <c r="K257" s="7" t="s">
        <v>261</v>
      </c>
      <c r="L257" s="7" t="s">
        <v>429</v>
      </c>
      <c r="M257" s="7" t="s">
        <v>263</v>
      </c>
      <c r="N257" s="7" t="s">
        <v>434</v>
      </c>
      <c r="O257" s="7"/>
      <c r="P257" s="35"/>
      <c r="Q257" s="7"/>
    </row>
    <row r="258">
      <c r="A258" s="7">
        <v>253.0</v>
      </c>
      <c r="B258" s="7" t="s">
        <v>265</v>
      </c>
      <c r="C258" s="7" t="str">
        <f>IFERROR(__xludf.DUMMYFUNCTION("GOOGLETRANSLATE($B258, $A$2, $B$2)"),"More than 30 days ago")</f>
        <v>More than 30 days ago</v>
      </c>
      <c r="D258" s="7" t="s">
        <v>920</v>
      </c>
      <c r="E258" s="7" t="s">
        <v>280</v>
      </c>
      <c r="F258" s="7" t="s">
        <v>921</v>
      </c>
      <c r="G258" s="7" t="s">
        <v>260</v>
      </c>
      <c r="H258" s="7" t="s">
        <v>261</v>
      </c>
      <c r="I258" s="7" t="s">
        <v>261</v>
      </c>
      <c r="J258" s="7" t="str">
        <f>IFERROR(__xludf.DUMMYFUNCTION("GOOGLETRANSLATE($I258, ""de"", ""en"")"),"NO SALARY DATA")</f>
        <v>NO SALARY DATA</v>
      </c>
      <c r="K258" s="7" t="s">
        <v>261</v>
      </c>
      <c r="L258" s="7" t="s">
        <v>374</v>
      </c>
      <c r="M258" s="7" t="s">
        <v>263</v>
      </c>
      <c r="N258" s="7" t="s">
        <v>336</v>
      </c>
      <c r="O258" s="7"/>
      <c r="P258" s="35"/>
      <c r="Q258" s="7"/>
    </row>
    <row r="259">
      <c r="A259" s="7">
        <v>254.0</v>
      </c>
      <c r="B259" s="7" t="s">
        <v>346</v>
      </c>
      <c r="C259" s="7" t="str">
        <f>IFERROR(__xludf.DUMMYFUNCTION("GOOGLETRANSLATE($B259, $A$2, $B$2)"),"12 days ago")</f>
        <v>12 days ago</v>
      </c>
      <c r="D259" s="7" t="s">
        <v>876</v>
      </c>
      <c r="E259" s="7" t="s">
        <v>280</v>
      </c>
      <c r="F259" s="7" t="s">
        <v>922</v>
      </c>
      <c r="G259" s="7" t="s">
        <v>260</v>
      </c>
      <c r="H259" s="7" t="s">
        <v>261</v>
      </c>
      <c r="I259" s="7" t="s">
        <v>261</v>
      </c>
      <c r="J259" s="7" t="str">
        <f>IFERROR(__xludf.DUMMYFUNCTION("GOOGLETRANSLATE($I259, ""de"", ""en"")"),"NO SALARY DATA")</f>
        <v>NO SALARY DATA</v>
      </c>
      <c r="K259" s="7" t="s">
        <v>261</v>
      </c>
      <c r="L259" s="7" t="s">
        <v>806</v>
      </c>
      <c r="M259" s="7" t="s">
        <v>263</v>
      </c>
      <c r="N259" s="7" t="s">
        <v>725</v>
      </c>
      <c r="O259" s="7"/>
      <c r="P259" s="35"/>
      <c r="Q259" s="7"/>
    </row>
    <row r="260">
      <c r="A260" s="7">
        <v>255.0</v>
      </c>
      <c r="B260" s="7" t="s">
        <v>269</v>
      </c>
      <c r="C260" s="7" t="str">
        <f>IFERROR(__xludf.DUMMYFUNCTION("GOOGLETRANSLATE($B260, $A$2, $B$2)"),"5 days ago")</f>
        <v>5 days ago</v>
      </c>
      <c r="D260" s="7" t="s">
        <v>923</v>
      </c>
      <c r="E260" s="7" t="s">
        <v>343</v>
      </c>
      <c r="F260" s="7" t="s">
        <v>642</v>
      </c>
      <c r="G260" s="7" t="s">
        <v>260</v>
      </c>
      <c r="H260" s="7" t="s">
        <v>261</v>
      </c>
      <c r="I260" s="7" t="s">
        <v>261</v>
      </c>
      <c r="J260" s="7" t="str">
        <f>IFERROR(__xludf.DUMMYFUNCTION("GOOGLETRANSLATE($I260, ""de"", ""en"")"),"NO SALARY DATA")</f>
        <v>NO SALARY DATA</v>
      </c>
      <c r="K260" s="7" t="s">
        <v>261</v>
      </c>
      <c r="L260" s="7" t="s">
        <v>924</v>
      </c>
      <c r="M260" s="7" t="s">
        <v>263</v>
      </c>
      <c r="N260" s="7" t="s">
        <v>275</v>
      </c>
      <c r="O260" s="7"/>
      <c r="P260" s="37"/>
      <c r="Q260" s="7"/>
    </row>
    <row r="261">
      <c r="A261" s="7">
        <v>256.0</v>
      </c>
      <c r="B261" s="7" t="s">
        <v>332</v>
      </c>
      <c r="C261" s="7" t="str">
        <f>IFERROR(__xludf.DUMMYFUNCTION("GOOGLETRANSLATE($B261, $A$2, $B$2)"),"4 days ago")</f>
        <v>4 days ago</v>
      </c>
      <c r="D261" s="7" t="s">
        <v>925</v>
      </c>
      <c r="E261" s="7" t="s">
        <v>348</v>
      </c>
      <c r="F261" s="7" t="s">
        <v>926</v>
      </c>
      <c r="G261" s="7" t="s">
        <v>260</v>
      </c>
      <c r="H261" s="7" t="s">
        <v>261</v>
      </c>
      <c r="I261" s="7" t="s">
        <v>261</v>
      </c>
      <c r="J261" s="7" t="str">
        <f>IFERROR(__xludf.DUMMYFUNCTION("GOOGLETRANSLATE($I261, ""de"", ""en"")"),"NO SALARY DATA")</f>
        <v>NO SALARY DATA</v>
      </c>
      <c r="K261" s="7" t="s">
        <v>261</v>
      </c>
      <c r="L261" s="7" t="s">
        <v>312</v>
      </c>
      <c r="M261" s="7" t="s">
        <v>263</v>
      </c>
      <c r="N261" s="7" t="s">
        <v>260</v>
      </c>
      <c r="O261" s="7"/>
      <c r="P261" s="37"/>
      <c r="Q261" s="7"/>
    </row>
    <row r="262">
      <c r="A262" s="7">
        <v>257.0</v>
      </c>
      <c r="B262" s="7" t="s">
        <v>265</v>
      </c>
      <c r="C262" s="7" t="str">
        <f>IFERROR(__xludf.DUMMYFUNCTION("GOOGLETRANSLATE($B262, $A$2, $B$2)"),"More than 30 days ago")</f>
        <v>More than 30 days ago</v>
      </c>
      <c r="D262" s="7" t="s">
        <v>927</v>
      </c>
      <c r="E262" s="7" t="s">
        <v>348</v>
      </c>
      <c r="F262" s="7" t="s">
        <v>928</v>
      </c>
      <c r="G262" s="7" t="s">
        <v>260</v>
      </c>
      <c r="H262" s="7" t="s">
        <v>261</v>
      </c>
      <c r="I262" s="7" t="s">
        <v>261</v>
      </c>
      <c r="J262" s="7" t="str">
        <f>IFERROR(__xludf.DUMMYFUNCTION("GOOGLETRANSLATE($I262, ""de"", ""en"")"),"NO SALARY DATA")</f>
        <v>NO SALARY DATA</v>
      </c>
      <c r="K262" s="7" t="s">
        <v>261</v>
      </c>
      <c r="L262" s="7" t="s">
        <v>929</v>
      </c>
      <c r="M262" s="7" t="s">
        <v>263</v>
      </c>
      <c r="N262" s="7" t="s">
        <v>260</v>
      </c>
      <c r="O262" s="7"/>
      <c r="P262" s="35"/>
      <c r="Q262" s="7"/>
    </row>
    <row r="263">
      <c r="A263" s="7">
        <v>258.0</v>
      </c>
      <c r="B263" s="7" t="s">
        <v>379</v>
      </c>
      <c r="C263" s="7" t="str">
        <f>IFERROR(__xludf.DUMMYFUNCTION("GOOGLETRANSLATE($B263, $A$2, $B$2)"),"13 days ago")</f>
        <v>13 days ago</v>
      </c>
      <c r="D263" s="7" t="s">
        <v>930</v>
      </c>
      <c r="E263" s="7" t="s">
        <v>931</v>
      </c>
      <c r="F263" s="7" t="s">
        <v>272</v>
      </c>
      <c r="G263" s="7" t="s">
        <v>260</v>
      </c>
      <c r="H263" s="7" t="s">
        <v>261</v>
      </c>
      <c r="I263" s="7" t="s">
        <v>261</v>
      </c>
      <c r="J263" s="7" t="str">
        <f>IFERROR(__xludf.DUMMYFUNCTION("GOOGLETRANSLATE($I263, ""de"", ""en"")"),"NO SALARY DATA")</f>
        <v>NO SALARY DATA</v>
      </c>
      <c r="K263" s="7" t="s">
        <v>261</v>
      </c>
      <c r="L263" s="7" t="s">
        <v>286</v>
      </c>
      <c r="M263" s="7" t="s">
        <v>287</v>
      </c>
      <c r="N263" s="7" t="s">
        <v>275</v>
      </c>
      <c r="O263" s="7"/>
      <c r="P263" s="35"/>
      <c r="Q263" s="7"/>
    </row>
    <row r="264">
      <c r="A264" s="7">
        <v>259.0</v>
      </c>
      <c r="B264" s="7" t="s">
        <v>371</v>
      </c>
      <c r="C264" s="7" t="str">
        <f>IFERROR(__xludf.DUMMYFUNCTION("GOOGLETRANSLATE($B264, $A$2, $B$2)"),"Straight")</f>
        <v>Straight</v>
      </c>
      <c r="D264" s="7" t="s">
        <v>932</v>
      </c>
      <c r="E264" s="7" t="s">
        <v>405</v>
      </c>
      <c r="F264" s="7" t="s">
        <v>432</v>
      </c>
      <c r="G264" s="7" t="s">
        <v>260</v>
      </c>
      <c r="H264" s="7" t="s">
        <v>261</v>
      </c>
      <c r="I264" s="7" t="s">
        <v>261</v>
      </c>
      <c r="J264" s="7" t="str">
        <f>IFERROR(__xludf.DUMMYFUNCTION("GOOGLETRANSLATE($I264, ""de"", ""en"")"),"NO SALARY DATA")</f>
        <v>NO SALARY DATA</v>
      </c>
      <c r="K264" s="7" t="s">
        <v>261</v>
      </c>
      <c r="L264" s="7" t="s">
        <v>830</v>
      </c>
      <c r="M264" s="7" t="s">
        <v>263</v>
      </c>
      <c r="N264" s="7" t="s">
        <v>434</v>
      </c>
      <c r="O264" s="7"/>
      <c r="P264" s="37"/>
      <c r="Q264" s="7"/>
    </row>
    <row r="265">
      <c r="A265" s="7">
        <v>260.0</v>
      </c>
      <c r="B265" s="7" t="s">
        <v>269</v>
      </c>
      <c r="C265" s="7" t="str">
        <f>IFERROR(__xludf.DUMMYFUNCTION("GOOGLETRANSLATE($B265, $A$2, $B$2)"),"5 days ago")</f>
        <v>5 days ago</v>
      </c>
      <c r="D265" s="7" t="s">
        <v>933</v>
      </c>
      <c r="E265" s="7" t="s">
        <v>280</v>
      </c>
      <c r="F265" s="7" t="s">
        <v>934</v>
      </c>
      <c r="G265" s="7" t="s">
        <v>260</v>
      </c>
      <c r="H265" s="7" t="s">
        <v>261</v>
      </c>
      <c r="I265" s="7" t="s">
        <v>261</v>
      </c>
      <c r="J265" s="7" t="str">
        <f>IFERROR(__xludf.DUMMYFUNCTION("GOOGLETRANSLATE($I265, ""de"", ""en"")"),"NO SALARY DATA")</f>
        <v>NO SALARY DATA</v>
      </c>
      <c r="K265" s="7" t="s">
        <v>261</v>
      </c>
      <c r="L265" s="7" t="s">
        <v>286</v>
      </c>
      <c r="M265" s="7" t="s">
        <v>263</v>
      </c>
      <c r="N265" s="7" t="s">
        <v>260</v>
      </c>
      <c r="O265" s="7"/>
      <c r="P265" s="37"/>
      <c r="Q265" s="7"/>
    </row>
    <row r="266">
      <c r="A266" s="7">
        <v>261.0</v>
      </c>
      <c r="B266" s="7" t="s">
        <v>265</v>
      </c>
      <c r="C266" s="7" t="str">
        <f>IFERROR(__xludf.DUMMYFUNCTION("GOOGLETRANSLATE($B266, $A$2, $B$2)"),"More than 30 days ago")</f>
        <v>More than 30 days ago</v>
      </c>
      <c r="D266" s="7" t="s">
        <v>668</v>
      </c>
      <c r="E266" s="7" t="s">
        <v>348</v>
      </c>
      <c r="F266" s="7" t="s">
        <v>720</v>
      </c>
      <c r="G266" s="7" t="s">
        <v>260</v>
      </c>
      <c r="H266" s="7" t="s">
        <v>261</v>
      </c>
      <c r="I266" s="7" t="s">
        <v>261</v>
      </c>
      <c r="J266" s="7" t="str">
        <f>IFERROR(__xludf.DUMMYFUNCTION("GOOGLETRANSLATE($I266, ""de"", ""en"")"),"NO SALARY DATA")</f>
        <v>NO SALARY DATA</v>
      </c>
      <c r="K266" s="7" t="s">
        <v>261</v>
      </c>
      <c r="L266" s="7" t="s">
        <v>935</v>
      </c>
      <c r="M266" s="7" t="s">
        <v>263</v>
      </c>
      <c r="N266" s="7" t="s">
        <v>260</v>
      </c>
      <c r="O266" s="7"/>
      <c r="P266" s="37"/>
      <c r="Q266" s="7"/>
    </row>
    <row r="267">
      <c r="A267" s="7">
        <v>262.0</v>
      </c>
      <c r="B267" s="7" t="s">
        <v>256</v>
      </c>
      <c r="C267" s="7" t="str">
        <f>IFERROR(__xludf.DUMMYFUNCTION("GOOGLETRANSLATE($B267, $A$2, $B$2)"),"7 days ago")</f>
        <v>7 days ago</v>
      </c>
      <c r="D267" s="7" t="s">
        <v>936</v>
      </c>
      <c r="E267" s="7" t="s">
        <v>405</v>
      </c>
      <c r="F267" s="7" t="s">
        <v>937</v>
      </c>
      <c r="G267" s="7" t="s">
        <v>260</v>
      </c>
      <c r="H267" s="7" t="s">
        <v>261</v>
      </c>
      <c r="I267" s="7" t="s">
        <v>261</v>
      </c>
      <c r="J267" s="7" t="str">
        <f>IFERROR(__xludf.DUMMYFUNCTION("GOOGLETRANSLATE($I267, ""de"", ""en"")"),"NO SALARY DATA")</f>
        <v>NO SALARY DATA</v>
      </c>
      <c r="K267" s="7" t="s">
        <v>261</v>
      </c>
      <c r="L267" s="7" t="s">
        <v>433</v>
      </c>
      <c r="M267" s="7" t="s">
        <v>263</v>
      </c>
      <c r="N267" s="7" t="s">
        <v>260</v>
      </c>
      <c r="O267" s="7"/>
      <c r="P267" s="35"/>
      <c r="Q267" s="7"/>
    </row>
    <row r="268">
      <c r="A268" s="7">
        <v>263.0</v>
      </c>
      <c r="B268" s="7" t="s">
        <v>265</v>
      </c>
      <c r="C268" s="7" t="str">
        <f>IFERROR(__xludf.DUMMYFUNCTION("GOOGLETRANSLATE($B268, $A$2, $B$2)"),"More than 30 days ago")</f>
        <v>More than 30 days ago</v>
      </c>
      <c r="D268" s="7" t="s">
        <v>823</v>
      </c>
      <c r="E268" s="7" t="s">
        <v>280</v>
      </c>
      <c r="F268" s="7" t="s">
        <v>406</v>
      </c>
      <c r="G268" s="7" t="s">
        <v>260</v>
      </c>
      <c r="H268" s="7" t="s">
        <v>261</v>
      </c>
      <c r="I268" s="7" t="s">
        <v>261</v>
      </c>
      <c r="J268" s="7" t="str">
        <f>IFERROR(__xludf.DUMMYFUNCTION("GOOGLETRANSLATE($I268, ""de"", ""en"")"),"NO SALARY DATA")</f>
        <v>NO SALARY DATA</v>
      </c>
      <c r="K268" s="7" t="s">
        <v>261</v>
      </c>
      <c r="L268" s="7" t="s">
        <v>318</v>
      </c>
      <c r="M268" s="7" t="s">
        <v>263</v>
      </c>
      <c r="N268" s="7" t="s">
        <v>275</v>
      </c>
      <c r="O268" s="7"/>
      <c r="P268" s="35"/>
      <c r="Q268" s="7"/>
    </row>
    <row r="269">
      <c r="A269" s="7">
        <v>264.0</v>
      </c>
      <c r="B269" s="7" t="s">
        <v>637</v>
      </c>
      <c r="C269" s="7" t="str">
        <f>IFERROR(__xludf.DUMMYFUNCTION("GOOGLETRANSLATE($B269, $A$2, $B$2)"),"17 days ago")</f>
        <v>17 days ago</v>
      </c>
      <c r="D269" s="7" t="s">
        <v>938</v>
      </c>
      <c r="E269" s="7" t="s">
        <v>271</v>
      </c>
      <c r="F269" s="7" t="s">
        <v>939</v>
      </c>
      <c r="G269" s="7" t="s">
        <v>260</v>
      </c>
      <c r="H269" s="7" t="s">
        <v>261</v>
      </c>
      <c r="I269" s="7" t="s">
        <v>261</v>
      </c>
      <c r="J269" s="7" t="str">
        <f>IFERROR(__xludf.DUMMYFUNCTION("GOOGLETRANSLATE($I269, ""de"", ""en"")"),"NO SALARY DATA")</f>
        <v>NO SALARY DATA</v>
      </c>
      <c r="K269" s="7" t="s">
        <v>261</v>
      </c>
      <c r="L269" s="7" t="s">
        <v>666</v>
      </c>
      <c r="M269" s="7" t="s">
        <v>263</v>
      </c>
      <c r="N269" s="7" t="s">
        <v>323</v>
      </c>
      <c r="O269" s="7"/>
      <c r="P269" s="35"/>
      <c r="Q269" s="7"/>
    </row>
    <row r="270">
      <c r="A270" s="7">
        <v>265.0</v>
      </c>
      <c r="B270" s="7" t="s">
        <v>375</v>
      </c>
      <c r="C270" s="7" t="str">
        <f>IFERROR(__xludf.DUMMYFUNCTION("GOOGLETRANSLATE($B270, $A$2, $B$2)"),"6 days ago")</f>
        <v>6 days ago</v>
      </c>
      <c r="D270" s="7" t="s">
        <v>940</v>
      </c>
      <c r="E270" s="7" t="s">
        <v>941</v>
      </c>
      <c r="F270" s="7" t="s">
        <v>942</v>
      </c>
      <c r="G270" s="7" t="s">
        <v>260</v>
      </c>
      <c r="H270" s="7" t="s">
        <v>261</v>
      </c>
      <c r="I270" s="7" t="s">
        <v>261</v>
      </c>
      <c r="J270" s="7" t="str">
        <f>IFERROR(__xludf.DUMMYFUNCTION("GOOGLETRANSLATE($I270, ""de"", ""en"")"),"NO SALARY DATA")</f>
        <v>NO SALARY DATA</v>
      </c>
      <c r="K270" s="7" t="s">
        <v>261</v>
      </c>
      <c r="L270" s="7" t="s">
        <v>943</v>
      </c>
      <c r="M270" s="7" t="s">
        <v>263</v>
      </c>
      <c r="N270" s="7" t="s">
        <v>944</v>
      </c>
      <c r="O270" s="7"/>
      <c r="P270" s="37"/>
      <c r="Q270" s="7"/>
    </row>
    <row r="271">
      <c r="A271" s="7">
        <v>266.0</v>
      </c>
      <c r="B271" s="7" t="s">
        <v>292</v>
      </c>
      <c r="C271" s="7" t="str">
        <f>IFERROR(__xludf.DUMMYFUNCTION("GOOGLETRANSLATE($B271, $A$2, $B$2)"),"1 day ago")</f>
        <v>1 day ago</v>
      </c>
      <c r="D271" s="7" t="s">
        <v>753</v>
      </c>
      <c r="E271" s="7" t="s">
        <v>258</v>
      </c>
      <c r="F271" s="7" t="s">
        <v>754</v>
      </c>
      <c r="G271" s="7" t="s">
        <v>260</v>
      </c>
      <c r="H271" s="7" t="s">
        <v>261</v>
      </c>
      <c r="I271" s="7" t="s">
        <v>261</v>
      </c>
      <c r="J271" s="7" t="str">
        <f>IFERROR(__xludf.DUMMYFUNCTION("GOOGLETRANSLATE($I271, ""de"", ""en"")"),"NO SALARY DATA")</f>
        <v>NO SALARY DATA</v>
      </c>
      <c r="K271" s="7" t="s">
        <v>261</v>
      </c>
      <c r="L271" s="7" t="s">
        <v>370</v>
      </c>
      <c r="M271" s="7" t="s">
        <v>263</v>
      </c>
      <c r="N271" s="7" t="s">
        <v>260</v>
      </c>
      <c r="O271" s="7"/>
      <c r="P271" s="37"/>
      <c r="Q271" s="7"/>
    </row>
    <row r="272">
      <c r="A272" s="7">
        <v>267.0</v>
      </c>
      <c r="B272" s="7" t="s">
        <v>265</v>
      </c>
      <c r="C272" s="7" t="str">
        <f>IFERROR(__xludf.DUMMYFUNCTION("GOOGLETRANSLATE($B272, $A$2, $B$2)"),"More than 30 days ago")</f>
        <v>More than 30 days ago</v>
      </c>
      <c r="D272" s="7" t="s">
        <v>945</v>
      </c>
      <c r="E272" s="7" t="s">
        <v>280</v>
      </c>
      <c r="F272" s="7" t="s">
        <v>946</v>
      </c>
      <c r="G272" s="7" t="s">
        <v>260</v>
      </c>
      <c r="H272" s="7" t="s">
        <v>261</v>
      </c>
      <c r="I272" s="7" t="s">
        <v>261</v>
      </c>
      <c r="J272" s="7" t="str">
        <f>IFERROR(__xludf.DUMMYFUNCTION("GOOGLETRANSLATE($I272, ""de"", ""en"")"),"NO SALARY DATA")</f>
        <v>NO SALARY DATA</v>
      </c>
      <c r="K272" s="7" t="s">
        <v>261</v>
      </c>
      <c r="L272" s="7" t="s">
        <v>423</v>
      </c>
      <c r="M272" s="7" t="s">
        <v>263</v>
      </c>
      <c r="N272" s="7" t="s">
        <v>260</v>
      </c>
      <c r="O272" s="7"/>
      <c r="P272" s="37"/>
      <c r="Q272" s="7"/>
    </row>
    <row r="273">
      <c r="A273" s="7">
        <v>268.0</v>
      </c>
      <c r="B273" s="7" t="s">
        <v>302</v>
      </c>
      <c r="C273" s="7" t="str">
        <f>IFERROR(__xludf.DUMMYFUNCTION("GOOGLETRANSLATE($B273, $A$2, $B$2)"),"today")</f>
        <v>today</v>
      </c>
      <c r="D273" s="7" t="s">
        <v>947</v>
      </c>
      <c r="E273" s="7" t="s">
        <v>408</v>
      </c>
      <c r="F273" s="7" t="s">
        <v>948</v>
      </c>
      <c r="G273" s="7" t="s">
        <v>260</v>
      </c>
      <c r="H273" s="7" t="s">
        <v>261</v>
      </c>
      <c r="I273" s="7" t="s">
        <v>261</v>
      </c>
      <c r="J273" s="7" t="str">
        <f>IFERROR(__xludf.DUMMYFUNCTION("GOOGLETRANSLATE($I273, ""de"", ""en"")"),"NO SALARY DATA")</f>
        <v>NO SALARY DATA</v>
      </c>
      <c r="K273" s="7" t="s">
        <v>261</v>
      </c>
      <c r="L273" s="7" t="s">
        <v>282</v>
      </c>
      <c r="M273" s="7" t="s">
        <v>263</v>
      </c>
      <c r="N273" s="7" t="s">
        <v>260</v>
      </c>
      <c r="O273" s="7"/>
      <c r="P273" s="35"/>
      <c r="Q273" s="7"/>
    </row>
    <row r="274">
      <c r="A274" s="7">
        <v>269.0</v>
      </c>
      <c r="B274" s="7" t="s">
        <v>302</v>
      </c>
      <c r="C274" s="7" t="str">
        <f>IFERROR(__xludf.DUMMYFUNCTION("GOOGLETRANSLATE($B274, $A$2, $B$2)"),"today")</f>
        <v>today</v>
      </c>
      <c r="D274" s="7" t="s">
        <v>949</v>
      </c>
      <c r="E274" s="7" t="s">
        <v>348</v>
      </c>
      <c r="F274" s="7" t="s">
        <v>950</v>
      </c>
      <c r="G274" s="7" t="s">
        <v>260</v>
      </c>
      <c r="H274" s="7" t="s">
        <v>261</v>
      </c>
      <c r="I274" s="7" t="s">
        <v>261</v>
      </c>
      <c r="J274" s="7" t="str">
        <f>IFERROR(__xludf.DUMMYFUNCTION("GOOGLETRANSLATE($I274, ""de"", ""en"")"),"NO SALARY DATA")</f>
        <v>NO SALARY DATA</v>
      </c>
      <c r="K274" s="7" t="s">
        <v>261</v>
      </c>
      <c r="L274" s="7" t="s">
        <v>951</v>
      </c>
      <c r="M274" s="7" t="s">
        <v>322</v>
      </c>
      <c r="N274" s="7" t="s">
        <v>399</v>
      </c>
      <c r="O274" s="7"/>
      <c r="P274" s="37"/>
      <c r="Q274" s="7"/>
    </row>
    <row r="275">
      <c r="A275" s="7">
        <v>270.0</v>
      </c>
      <c r="B275" s="7" t="s">
        <v>442</v>
      </c>
      <c r="C275" s="7" t="str">
        <f>IFERROR(__xludf.DUMMYFUNCTION("GOOGLETRANSLATE($B275, $A$2, $B$2)"),"26 days ago")</f>
        <v>26 days ago</v>
      </c>
      <c r="D275" s="7" t="s">
        <v>952</v>
      </c>
      <c r="E275" s="7" t="s">
        <v>520</v>
      </c>
      <c r="F275" s="7" t="s">
        <v>953</v>
      </c>
      <c r="G275" s="7" t="s">
        <v>260</v>
      </c>
      <c r="H275" s="7" t="s">
        <v>261</v>
      </c>
      <c r="I275" s="7" t="s">
        <v>261</v>
      </c>
      <c r="J275" s="7" t="str">
        <f>IFERROR(__xludf.DUMMYFUNCTION("GOOGLETRANSLATE($I275, ""de"", ""en"")"),"NO SALARY DATA")</f>
        <v>NO SALARY DATA</v>
      </c>
      <c r="K275" s="7" t="s">
        <v>261</v>
      </c>
      <c r="L275" s="7" t="s">
        <v>954</v>
      </c>
      <c r="M275" s="7" t="s">
        <v>263</v>
      </c>
      <c r="N275" s="7" t="s">
        <v>260</v>
      </c>
      <c r="O275" s="7"/>
      <c r="P275" s="37"/>
      <c r="Q275" s="7"/>
    </row>
    <row r="276">
      <c r="A276" s="7">
        <v>271.0</v>
      </c>
      <c r="B276" s="7" t="s">
        <v>265</v>
      </c>
      <c r="C276" s="7" t="str">
        <f>IFERROR(__xludf.DUMMYFUNCTION("GOOGLETRANSLATE($B276, $A$2, $B$2)"),"More than 30 days ago")</f>
        <v>More than 30 days ago</v>
      </c>
      <c r="D276" s="7" t="s">
        <v>955</v>
      </c>
      <c r="E276" s="7" t="s">
        <v>258</v>
      </c>
      <c r="F276" s="7" t="s">
        <v>956</v>
      </c>
      <c r="G276" s="7" t="s">
        <v>260</v>
      </c>
      <c r="H276" s="7" t="s">
        <v>261</v>
      </c>
      <c r="I276" s="7" t="s">
        <v>261</v>
      </c>
      <c r="J276" s="7" t="str">
        <f>IFERROR(__xludf.DUMMYFUNCTION("GOOGLETRANSLATE($I276, ""de"", ""en"")"),"NO SALARY DATA")</f>
        <v>NO SALARY DATA</v>
      </c>
      <c r="K276" s="7" t="s">
        <v>261</v>
      </c>
      <c r="L276" s="7" t="s">
        <v>339</v>
      </c>
      <c r="M276" s="7" t="s">
        <v>263</v>
      </c>
      <c r="N276" s="7" t="s">
        <v>260</v>
      </c>
      <c r="O276" s="7"/>
      <c r="P276" s="35"/>
      <c r="Q276" s="7"/>
    </row>
    <row r="277">
      <c r="A277" s="7">
        <v>272.0</v>
      </c>
      <c r="B277" s="7" t="s">
        <v>265</v>
      </c>
      <c r="C277" s="7" t="str">
        <f>IFERROR(__xludf.DUMMYFUNCTION("GOOGLETRANSLATE($B277, $A$2, $B$2)"),"More than 30 days ago")</f>
        <v>More than 30 days ago</v>
      </c>
      <c r="D277" s="7" t="s">
        <v>603</v>
      </c>
      <c r="E277" s="7" t="s">
        <v>604</v>
      </c>
      <c r="F277" s="7" t="s">
        <v>605</v>
      </c>
      <c r="G277" s="7" t="s">
        <v>260</v>
      </c>
      <c r="H277" s="7" t="s">
        <v>261</v>
      </c>
      <c r="I277" s="7" t="s">
        <v>261</v>
      </c>
      <c r="J277" s="7" t="str">
        <f>IFERROR(__xludf.DUMMYFUNCTION("GOOGLETRANSLATE($I277, ""de"", ""en"")"),"NO SALARY DATA")</f>
        <v>NO SALARY DATA</v>
      </c>
      <c r="K277" s="7" t="s">
        <v>261</v>
      </c>
      <c r="L277" s="7" t="s">
        <v>410</v>
      </c>
      <c r="M277" s="7" t="s">
        <v>263</v>
      </c>
      <c r="N277" s="7" t="s">
        <v>434</v>
      </c>
      <c r="O277" s="7"/>
      <c r="P277" s="37"/>
      <c r="Q277" s="7"/>
    </row>
    <row r="278">
      <c r="A278" s="7">
        <v>273.0</v>
      </c>
      <c r="B278" s="7" t="s">
        <v>269</v>
      </c>
      <c r="C278" s="7" t="str">
        <f>IFERROR(__xludf.DUMMYFUNCTION("GOOGLETRANSLATE($B278, $A$2, $B$2)"),"5 days ago")</f>
        <v>5 days ago</v>
      </c>
      <c r="D278" s="7" t="s">
        <v>957</v>
      </c>
      <c r="E278" s="7" t="s">
        <v>258</v>
      </c>
      <c r="F278" s="7" t="s">
        <v>317</v>
      </c>
      <c r="G278" s="7" t="s">
        <v>260</v>
      </c>
      <c r="H278" s="7" t="s">
        <v>261</v>
      </c>
      <c r="I278" s="7" t="s">
        <v>261</v>
      </c>
      <c r="J278" s="7" t="str">
        <f>IFERROR(__xludf.DUMMYFUNCTION("GOOGLETRANSLATE($I278, ""de"", ""en"")"),"NO SALARY DATA")</f>
        <v>NO SALARY DATA</v>
      </c>
      <c r="K278" s="7" t="s">
        <v>261</v>
      </c>
      <c r="L278" s="7" t="s">
        <v>455</v>
      </c>
      <c r="M278" s="7" t="s">
        <v>263</v>
      </c>
      <c r="N278" s="7" t="s">
        <v>260</v>
      </c>
      <c r="O278" s="7"/>
      <c r="P278" s="37"/>
      <c r="Q278" s="7"/>
    </row>
    <row r="279">
      <c r="A279" s="7">
        <v>274.0</v>
      </c>
      <c r="B279" s="7" t="s">
        <v>265</v>
      </c>
      <c r="C279" s="7" t="str">
        <f>IFERROR(__xludf.DUMMYFUNCTION("GOOGLETRANSLATE($B279, $A$2, $B$2)"),"More than 30 days ago")</f>
        <v>More than 30 days ago</v>
      </c>
      <c r="D279" s="7" t="s">
        <v>958</v>
      </c>
      <c r="E279" s="7" t="s">
        <v>372</v>
      </c>
      <c r="F279" s="7" t="s">
        <v>959</v>
      </c>
      <c r="G279" s="7" t="s">
        <v>260</v>
      </c>
      <c r="H279" s="7" t="s">
        <v>261</v>
      </c>
      <c r="I279" s="7" t="s">
        <v>261</v>
      </c>
      <c r="J279" s="7" t="str">
        <f>IFERROR(__xludf.DUMMYFUNCTION("GOOGLETRANSLATE($I279, ""de"", ""en"")"),"NO SALARY DATA")</f>
        <v>NO SALARY DATA</v>
      </c>
      <c r="K279" s="7" t="s">
        <v>261</v>
      </c>
      <c r="L279" s="7" t="s">
        <v>321</v>
      </c>
      <c r="M279" s="7" t="s">
        <v>263</v>
      </c>
      <c r="N279" s="7" t="s">
        <v>260</v>
      </c>
      <c r="O279" s="7"/>
      <c r="P279" s="37"/>
      <c r="Q279" s="7"/>
    </row>
    <row r="280">
      <c r="A280" s="7">
        <v>275.0</v>
      </c>
      <c r="B280" s="7" t="s">
        <v>269</v>
      </c>
      <c r="C280" s="7" t="str">
        <f>IFERROR(__xludf.DUMMYFUNCTION("GOOGLETRANSLATE($B280, $A$2, $B$2)"),"5 days ago")</f>
        <v>5 days ago</v>
      </c>
      <c r="D280" s="7" t="s">
        <v>960</v>
      </c>
      <c r="E280" s="7" t="s">
        <v>258</v>
      </c>
      <c r="F280" s="7" t="s">
        <v>961</v>
      </c>
      <c r="G280" s="7" t="s">
        <v>260</v>
      </c>
      <c r="H280" s="7" t="s">
        <v>261</v>
      </c>
      <c r="I280" s="7" t="s">
        <v>261</v>
      </c>
      <c r="J280" s="7" t="str">
        <f>IFERROR(__xludf.DUMMYFUNCTION("GOOGLETRANSLATE($I280, ""de"", ""en"")"),"NO SALARY DATA")</f>
        <v>NO SALARY DATA</v>
      </c>
      <c r="K280" s="7" t="s">
        <v>261</v>
      </c>
      <c r="L280" s="7" t="s">
        <v>327</v>
      </c>
      <c r="M280" s="7" t="s">
        <v>263</v>
      </c>
      <c r="N280" s="7" t="s">
        <v>260</v>
      </c>
      <c r="O280" s="7"/>
      <c r="P280" s="37"/>
      <c r="Q280" s="7"/>
    </row>
    <row r="281">
      <c r="A281" s="7">
        <v>276.0</v>
      </c>
      <c r="B281" s="7" t="s">
        <v>533</v>
      </c>
      <c r="C281" s="7" t="str">
        <f>IFERROR(__xludf.DUMMYFUNCTION("GOOGLETRANSLATE($B281, $A$2, $B$2)"),"11 days ago")</f>
        <v>11 days ago</v>
      </c>
      <c r="D281" s="7" t="s">
        <v>962</v>
      </c>
      <c r="E281" s="7" t="s">
        <v>963</v>
      </c>
      <c r="F281" s="7" t="s">
        <v>964</v>
      </c>
      <c r="G281" s="7" t="s">
        <v>260</v>
      </c>
      <c r="H281" s="7" t="s">
        <v>261</v>
      </c>
      <c r="I281" s="7" t="s">
        <v>261</v>
      </c>
      <c r="J281" s="7" t="str">
        <f>IFERROR(__xludf.DUMMYFUNCTION("GOOGLETRANSLATE($I281, ""de"", ""en"")"),"NO SALARY DATA")</f>
        <v>NO SALARY DATA</v>
      </c>
      <c r="K281" s="7" t="s">
        <v>261</v>
      </c>
      <c r="L281" s="7" t="s">
        <v>318</v>
      </c>
      <c r="M281" s="7" t="s">
        <v>263</v>
      </c>
      <c r="N281" s="7" t="s">
        <v>260</v>
      </c>
      <c r="O281" s="7"/>
      <c r="P281" s="37"/>
      <c r="Q281" s="7"/>
    </row>
    <row r="282">
      <c r="A282" s="7">
        <v>277.0</v>
      </c>
      <c r="B282" s="7" t="s">
        <v>288</v>
      </c>
      <c r="C282" s="7" t="str">
        <f>IFERROR(__xludf.DUMMYFUNCTION("GOOGLETRANSLATE($B282, $A$2, $B$2)"),"2 days ago")</f>
        <v>2 days ago</v>
      </c>
      <c r="D282" s="7" t="s">
        <v>965</v>
      </c>
      <c r="E282" s="7" t="s">
        <v>271</v>
      </c>
      <c r="F282" s="7" t="s">
        <v>966</v>
      </c>
      <c r="G282" s="7" t="s">
        <v>260</v>
      </c>
      <c r="H282" s="7" t="s">
        <v>261</v>
      </c>
      <c r="I282" s="7" t="s">
        <v>261</v>
      </c>
      <c r="J282" s="7" t="str">
        <f>IFERROR(__xludf.DUMMYFUNCTION("GOOGLETRANSLATE($I282, ""de"", ""en"")"),"NO SALARY DATA")</f>
        <v>NO SALARY DATA</v>
      </c>
      <c r="K282" s="7" t="s">
        <v>261</v>
      </c>
      <c r="L282" s="7" t="s">
        <v>777</v>
      </c>
      <c r="M282" s="7" t="s">
        <v>263</v>
      </c>
      <c r="N282" s="7" t="s">
        <v>260</v>
      </c>
      <c r="O282" s="7"/>
      <c r="P282" s="37"/>
      <c r="Q282" s="7"/>
    </row>
    <row r="283">
      <c r="A283" s="7">
        <v>278.0</v>
      </c>
      <c r="B283" s="7" t="s">
        <v>265</v>
      </c>
      <c r="C283" s="7" t="str">
        <f>IFERROR(__xludf.DUMMYFUNCTION("GOOGLETRANSLATE($B283, $A$2, $B$2)"),"More than 30 days ago")</f>
        <v>More than 30 days ago</v>
      </c>
      <c r="D283" s="7" t="s">
        <v>685</v>
      </c>
      <c r="E283" s="7" t="s">
        <v>793</v>
      </c>
      <c r="F283" s="7" t="s">
        <v>967</v>
      </c>
      <c r="G283" s="7" t="s">
        <v>260</v>
      </c>
      <c r="H283" s="7" t="s">
        <v>261</v>
      </c>
      <c r="I283" s="7" t="s">
        <v>261</v>
      </c>
      <c r="J283" s="7" t="str">
        <f>IFERROR(__xludf.DUMMYFUNCTION("GOOGLETRANSLATE($I283, ""de"", ""en"")"),"NO SALARY DATA")</f>
        <v>NO SALARY DATA</v>
      </c>
      <c r="K283" s="7" t="s">
        <v>261</v>
      </c>
      <c r="L283" s="7" t="s">
        <v>485</v>
      </c>
      <c r="M283" s="7" t="s">
        <v>263</v>
      </c>
      <c r="N283" s="7" t="s">
        <v>260</v>
      </c>
      <c r="O283" s="7"/>
      <c r="P283" s="35"/>
      <c r="Q283" s="7"/>
    </row>
    <row r="284">
      <c r="A284" s="7">
        <v>279.0</v>
      </c>
      <c r="B284" s="7" t="s">
        <v>621</v>
      </c>
      <c r="C284" s="7" t="str">
        <f>IFERROR(__xludf.DUMMYFUNCTION("GOOGLETRANSLATE($B284, $A$2, $B$2)"),"20 days ago")</f>
        <v>20 days ago</v>
      </c>
      <c r="D284" s="7" t="s">
        <v>968</v>
      </c>
      <c r="E284" s="7" t="s">
        <v>271</v>
      </c>
      <c r="F284" s="7" t="s">
        <v>969</v>
      </c>
      <c r="G284" s="7" t="s">
        <v>260</v>
      </c>
      <c r="H284" s="7" t="s">
        <v>261</v>
      </c>
      <c r="I284" s="7" t="s">
        <v>261</v>
      </c>
      <c r="J284" s="7" t="str">
        <f>IFERROR(__xludf.DUMMYFUNCTION("GOOGLETRANSLATE($I284, ""de"", ""en"")"),"NO SALARY DATA")</f>
        <v>NO SALARY DATA</v>
      </c>
      <c r="K284" s="7" t="s">
        <v>261</v>
      </c>
      <c r="L284" s="7"/>
      <c r="M284" s="7" t="s">
        <v>263</v>
      </c>
      <c r="N284" s="7" t="s">
        <v>819</v>
      </c>
      <c r="O284" s="7"/>
      <c r="P284" s="37"/>
      <c r="Q284" s="7"/>
    </row>
    <row r="285">
      <c r="A285" s="7">
        <v>280.0</v>
      </c>
      <c r="B285" s="7" t="s">
        <v>265</v>
      </c>
      <c r="C285" s="7" t="str">
        <f>IFERROR(__xludf.DUMMYFUNCTION("GOOGLETRANSLATE($B285, $A$2, $B$2)"),"More than 30 days ago")</f>
        <v>More than 30 days ago</v>
      </c>
      <c r="D285" s="7" t="s">
        <v>276</v>
      </c>
      <c r="E285" s="7" t="s">
        <v>970</v>
      </c>
      <c r="F285" s="7" t="s">
        <v>971</v>
      </c>
      <c r="G285" s="7" t="s">
        <v>260</v>
      </c>
      <c r="H285" s="7" t="s">
        <v>261</v>
      </c>
      <c r="I285" s="7" t="s">
        <v>261</v>
      </c>
      <c r="J285" s="7" t="str">
        <f>IFERROR(__xludf.DUMMYFUNCTION("GOOGLETRANSLATE($I285, ""de"", ""en"")"),"NO SALARY DATA")</f>
        <v>NO SALARY DATA</v>
      </c>
      <c r="K285" s="7" t="s">
        <v>261</v>
      </c>
      <c r="L285" s="7" t="s">
        <v>345</v>
      </c>
      <c r="M285" s="7" t="s">
        <v>673</v>
      </c>
      <c r="N285" s="7" t="s">
        <v>260</v>
      </c>
      <c r="O285" s="7"/>
      <c r="P285" s="37"/>
      <c r="Q285" s="7"/>
    </row>
    <row r="286">
      <c r="A286" s="7">
        <v>281.0</v>
      </c>
      <c r="B286" s="7" t="s">
        <v>379</v>
      </c>
      <c r="C286" s="7" t="str">
        <f>IFERROR(__xludf.DUMMYFUNCTION("GOOGLETRANSLATE($B286, $A$2, $B$2)"),"13 days ago")</f>
        <v>13 days ago</v>
      </c>
      <c r="D286" s="7" t="s">
        <v>972</v>
      </c>
      <c r="E286" s="7" t="s">
        <v>280</v>
      </c>
      <c r="F286" s="7" t="s">
        <v>973</v>
      </c>
      <c r="G286" s="7" t="s">
        <v>260</v>
      </c>
      <c r="H286" s="7" t="s">
        <v>261</v>
      </c>
      <c r="I286" s="7" t="s">
        <v>261</v>
      </c>
      <c r="J286" s="7" t="str">
        <f>IFERROR(__xludf.DUMMYFUNCTION("GOOGLETRANSLATE($I286, ""de"", ""en"")"),"NO SALARY DATA")</f>
        <v>NO SALARY DATA</v>
      </c>
      <c r="K286" s="7" t="s">
        <v>261</v>
      </c>
      <c r="L286" s="7" t="s">
        <v>830</v>
      </c>
      <c r="M286" s="7" t="s">
        <v>263</v>
      </c>
      <c r="N286" s="7" t="s">
        <v>260</v>
      </c>
      <c r="O286" s="7"/>
      <c r="P286" s="35"/>
      <c r="Q286" s="7"/>
    </row>
    <row r="287">
      <c r="A287" s="7">
        <v>282.0</v>
      </c>
      <c r="B287" s="7" t="s">
        <v>265</v>
      </c>
      <c r="C287" s="7" t="str">
        <f>IFERROR(__xludf.DUMMYFUNCTION("GOOGLETRANSLATE($B287, $A$2, $B$2)"),"More than 30 days ago")</f>
        <v>More than 30 days ago</v>
      </c>
      <c r="D287" s="7" t="s">
        <v>974</v>
      </c>
      <c r="E287" s="7" t="s">
        <v>271</v>
      </c>
      <c r="F287" s="7" t="s">
        <v>919</v>
      </c>
      <c r="G287" s="7" t="s">
        <v>260</v>
      </c>
      <c r="H287" s="7" t="s">
        <v>261</v>
      </c>
      <c r="I287" s="7" t="s">
        <v>261</v>
      </c>
      <c r="J287" s="7" t="str">
        <f>IFERROR(__xludf.DUMMYFUNCTION("GOOGLETRANSLATE($I287, ""de"", ""en"")"),"NO SALARY DATA")</f>
        <v>NO SALARY DATA</v>
      </c>
      <c r="K287" s="7" t="s">
        <v>261</v>
      </c>
      <c r="L287" s="7" t="s">
        <v>410</v>
      </c>
      <c r="M287" s="7" t="s">
        <v>263</v>
      </c>
      <c r="N287" s="7" t="s">
        <v>434</v>
      </c>
      <c r="O287" s="7"/>
      <c r="P287" s="35"/>
      <c r="Q287" s="7"/>
    </row>
    <row r="288">
      <c r="A288" s="7">
        <v>283.0</v>
      </c>
      <c r="B288" s="7" t="s">
        <v>265</v>
      </c>
      <c r="C288" s="7" t="str">
        <f>IFERROR(__xludf.DUMMYFUNCTION("GOOGLETRANSLATE($B288, $A$2, $B$2)"),"More than 30 days ago")</f>
        <v>More than 30 days ago</v>
      </c>
      <c r="D288" s="7" t="s">
        <v>766</v>
      </c>
      <c r="E288" s="7" t="s">
        <v>343</v>
      </c>
      <c r="F288" s="7" t="s">
        <v>767</v>
      </c>
      <c r="G288" s="7" t="s">
        <v>260</v>
      </c>
      <c r="H288" s="7" t="s">
        <v>261</v>
      </c>
      <c r="I288" s="7" t="s">
        <v>261</v>
      </c>
      <c r="J288" s="7" t="str">
        <f>IFERROR(__xludf.DUMMYFUNCTION("GOOGLETRANSLATE($I288, ""de"", ""en"")"),"NO SALARY DATA")</f>
        <v>NO SALARY DATA</v>
      </c>
      <c r="K288" s="7" t="s">
        <v>261</v>
      </c>
      <c r="L288" s="7" t="s">
        <v>490</v>
      </c>
      <c r="M288" s="7" t="s">
        <v>263</v>
      </c>
      <c r="N288" s="7" t="s">
        <v>486</v>
      </c>
      <c r="O288" s="7"/>
      <c r="P288" s="35"/>
      <c r="Q288" s="7"/>
    </row>
    <row r="289">
      <c r="A289" s="7">
        <v>284.0</v>
      </c>
      <c r="B289" s="7" t="s">
        <v>375</v>
      </c>
      <c r="C289" s="7" t="str">
        <f>IFERROR(__xludf.DUMMYFUNCTION("GOOGLETRANSLATE($B289, $A$2, $B$2)"),"6 days ago")</f>
        <v>6 days ago</v>
      </c>
      <c r="D289" s="7" t="s">
        <v>306</v>
      </c>
      <c r="E289" s="7" t="s">
        <v>408</v>
      </c>
      <c r="F289" s="7" t="s">
        <v>444</v>
      </c>
      <c r="G289" s="7" t="s">
        <v>260</v>
      </c>
      <c r="H289" s="7" t="s">
        <v>261</v>
      </c>
      <c r="I289" s="7" t="s">
        <v>261</v>
      </c>
      <c r="J289" s="7" t="str">
        <f>IFERROR(__xludf.DUMMYFUNCTION("GOOGLETRANSLATE($I289, ""de"", ""en"")"),"NO SALARY DATA")</f>
        <v>NO SALARY DATA</v>
      </c>
      <c r="K289" s="7" t="s">
        <v>261</v>
      </c>
      <c r="L289" s="7" t="s">
        <v>975</v>
      </c>
      <c r="M289" s="7" t="s">
        <v>263</v>
      </c>
      <c r="N289" s="7" t="s">
        <v>323</v>
      </c>
      <c r="O289" s="7"/>
      <c r="P289" s="35"/>
      <c r="Q289" s="7"/>
    </row>
    <row r="290">
      <c r="A290" s="7">
        <v>285.0</v>
      </c>
      <c r="B290" s="7" t="s">
        <v>324</v>
      </c>
      <c r="C290" s="7" t="str">
        <f>IFERROR(__xludf.DUMMYFUNCTION("GOOGLETRANSLATE($B290, $A$2, $B$2)"),"3 days ago")</f>
        <v>3 days ago</v>
      </c>
      <c r="D290" s="7" t="s">
        <v>909</v>
      </c>
      <c r="E290" s="7" t="s">
        <v>401</v>
      </c>
      <c r="F290" s="7" t="s">
        <v>910</v>
      </c>
      <c r="G290" s="7" t="s">
        <v>260</v>
      </c>
      <c r="H290" s="7" t="s">
        <v>261</v>
      </c>
      <c r="I290" s="7" t="s">
        <v>261</v>
      </c>
      <c r="J290" s="7" t="str">
        <f>IFERROR(__xludf.DUMMYFUNCTION("GOOGLETRANSLATE($I290, ""de"", ""en"")"),"NO SALARY DATA")</f>
        <v>NO SALARY DATA</v>
      </c>
      <c r="K290" s="7" t="s">
        <v>261</v>
      </c>
      <c r="L290" s="7" t="s">
        <v>398</v>
      </c>
      <c r="M290" s="7" t="s">
        <v>263</v>
      </c>
      <c r="N290" s="7" t="s">
        <v>911</v>
      </c>
      <c r="O290" s="7"/>
      <c r="P290" s="37"/>
      <c r="Q290" s="7"/>
    </row>
    <row r="291">
      <c r="A291" s="7">
        <v>286.0</v>
      </c>
      <c r="B291" s="7" t="s">
        <v>371</v>
      </c>
      <c r="C291" s="7" t="str">
        <f>IFERROR(__xludf.DUMMYFUNCTION("GOOGLETRANSLATE($B291, $A$2, $B$2)"),"Straight")</f>
        <v>Straight</v>
      </c>
      <c r="D291" s="7" t="s">
        <v>976</v>
      </c>
      <c r="E291" s="7" t="s">
        <v>401</v>
      </c>
      <c r="F291" s="7" t="s">
        <v>977</v>
      </c>
      <c r="G291" s="7" t="s">
        <v>260</v>
      </c>
      <c r="H291" s="7" t="s">
        <v>261</v>
      </c>
      <c r="I291" s="7" t="s">
        <v>261</v>
      </c>
      <c r="J291" s="7" t="str">
        <f>IFERROR(__xludf.DUMMYFUNCTION("GOOGLETRANSLATE($I291, ""de"", ""en"")"),"NO SALARY DATA")</f>
        <v>NO SALARY DATA</v>
      </c>
      <c r="K291" s="7" t="s">
        <v>261</v>
      </c>
      <c r="L291" s="7" t="s">
        <v>531</v>
      </c>
      <c r="M291" s="7" t="s">
        <v>263</v>
      </c>
      <c r="N291" s="7" t="s">
        <v>260</v>
      </c>
      <c r="O291" s="7"/>
      <c r="P291" s="35"/>
      <c r="Q291" s="7"/>
    </row>
    <row r="292">
      <c r="A292" s="7">
        <v>287.0</v>
      </c>
      <c r="B292" s="7" t="s">
        <v>265</v>
      </c>
      <c r="C292" s="7" t="str">
        <f>IFERROR(__xludf.DUMMYFUNCTION("GOOGLETRANSLATE($B292, $A$2, $B$2)"),"More than 30 days ago")</f>
        <v>More than 30 days ago</v>
      </c>
      <c r="D292" s="7" t="s">
        <v>978</v>
      </c>
      <c r="E292" s="7" t="s">
        <v>401</v>
      </c>
      <c r="F292" s="7" t="s">
        <v>979</v>
      </c>
      <c r="G292" s="7" t="s">
        <v>260</v>
      </c>
      <c r="H292" s="7" t="s">
        <v>261</v>
      </c>
      <c r="I292" s="7" t="s">
        <v>261</v>
      </c>
      <c r="J292" s="7" t="str">
        <f>IFERROR(__xludf.DUMMYFUNCTION("GOOGLETRANSLATE($I292, ""de"", ""en"")"),"NO SALARY DATA")</f>
        <v>NO SALARY DATA</v>
      </c>
      <c r="K292" s="7" t="s">
        <v>261</v>
      </c>
      <c r="L292" s="7" t="s">
        <v>980</v>
      </c>
      <c r="M292" s="7" t="s">
        <v>673</v>
      </c>
      <c r="N292" s="7" t="s">
        <v>331</v>
      </c>
      <c r="O292" s="7"/>
      <c r="P292" s="35"/>
      <c r="Q292" s="7"/>
    </row>
    <row r="293">
      <c r="A293" s="7">
        <v>288.0</v>
      </c>
      <c r="B293" s="7" t="s">
        <v>265</v>
      </c>
      <c r="C293" s="7" t="str">
        <f>IFERROR(__xludf.DUMMYFUNCTION("GOOGLETRANSLATE($B293, $A$2, $B$2)"),"More than 30 days ago")</f>
        <v>More than 30 days ago</v>
      </c>
      <c r="D293" s="7" t="s">
        <v>981</v>
      </c>
      <c r="E293" s="7" t="s">
        <v>258</v>
      </c>
      <c r="F293" s="7" t="s">
        <v>821</v>
      </c>
      <c r="G293" s="7" t="s">
        <v>260</v>
      </c>
      <c r="H293" s="7" t="s">
        <v>261</v>
      </c>
      <c r="I293" s="7" t="s">
        <v>261</v>
      </c>
      <c r="J293" s="7" t="str">
        <f>IFERROR(__xludf.DUMMYFUNCTION("GOOGLETRANSLATE($I293, ""de"", ""en"")"),"NO SALARY DATA")</f>
        <v>NO SALARY DATA</v>
      </c>
      <c r="K293" s="7" t="s">
        <v>261</v>
      </c>
      <c r="L293" s="7" t="s">
        <v>822</v>
      </c>
      <c r="M293" s="7" t="s">
        <v>263</v>
      </c>
      <c r="N293" s="7" t="s">
        <v>301</v>
      </c>
      <c r="O293" s="7"/>
      <c r="P293" s="35"/>
      <c r="Q293" s="7"/>
    </row>
    <row r="294">
      <c r="A294" s="7">
        <v>289.0</v>
      </c>
      <c r="B294" s="7" t="s">
        <v>265</v>
      </c>
      <c r="C294" s="7" t="str">
        <f>IFERROR(__xludf.DUMMYFUNCTION("GOOGLETRANSLATE($B294, $A$2, $B$2)"),"More than 30 days ago")</f>
        <v>More than 30 days ago</v>
      </c>
      <c r="D294" s="7" t="s">
        <v>809</v>
      </c>
      <c r="E294" s="7" t="s">
        <v>343</v>
      </c>
      <c r="F294" s="7" t="s">
        <v>506</v>
      </c>
      <c r="G294" s="7" t="s">
        <v>810</v>
      </c>
      <c r="H294" s="7">
        <v>3068.0</v>
      </c>
      <c r="I294" s="7" t="s">
        <v>811</v>
      </c>
      <c r="J294" s="7" t="str">
        <f>IFERROR(__xludf.DUMMYFUNCTION("GOOGLETRANSLATE($I294, ""de"", ""en"")"),"month")</f>
        <v>month</v>
      </c>
      <c r="K294" s="7">
        <v>36816.0</v>
      </c>
      <c r="L294" s="7" t="s">
        <v>312</v>
      </c>
      <c r="M294" s="7" t="s">
        <v>263</v>
      </c>
      <c r="N294" s="7" t="s">
        <v>507</v>
      </c>
      <c r="O294" s="7"/>
      <c r="P294" s="37"/>
      <c r="Q294" s="7"/>
    </row>
    <row r="295">
      <c r="A295" s="7">
        <v>290.0</v>
      </c>
      <c r="B295" s="7" t="s">
        <v>375</v>
      </c>
      <c r="C295" s="7" t="str">
        <f>IFERROR(__xludf.DUMMYFUNCTION("GOOGLETRANSLATE($B295, $A$2, $B$2)"),"6 days ago")</f>
        <v>6 days ago</v>
      </c>
      <c r="D295" s="7" t="s">
        <v>982</v>
      </c>
      <c r="E295" s="7" t="s">
        <v>348</v>
      </c>
      <c r="F295" s="7" t="s">
        <v>983</v>
      </c>
      <c r="G295" s="7" t="s">
        <v>260</v>
      </c>
      <c r="H295" s="7" t="s">
        <v>261</v>
      </c>
      <c r="I295" s="7" t="s">
        <v>261</v>
      </c>
      <c r="J295" s="7" t="str">
        <f>IFERROR(__xludf.DUMMYFUNCTION("GOOGLETRANSLATE($I295, ""de"", ""en"")"),"NO SALARY DATA")</f>
        <v>NO SALARY DATA</v>
      </c>
      <c r="K295" s="7" t="s">
        <v>261</v>
      </c>
      <c r="L295" s="7" t="s">
        <v>321</v>
      </c>
      <c r="M295" s="7" t="s">
        <v>263</v>
      </c>
      <c r="N295" s="7" t="s">
        <v>260</v>
      </c>
      <c r="O295" s="7"/>
      <c r="P295" s="37"/>
      <c r="Q295" s="7"/>
    </row>
    <row r="296">
      <c r="A296" s="7">
        <v>291.0</v>
      </c>
      <c r="B296" s="7" t="s">
        <v>265</v>
      </c>
      <c r="C296" s="7" t="str">
        <f>IFERROR(__xludf.DUMMYFUNCTION("GOOGLETRANSLATE($B296, $A$2, $B$2)"),"More than 30 days ago")</f>
        <v>More than 30 days ago</v>
      </c>
      <c r="D296" s="7" t="s">
        <v>984</v>
      </c>
      <c r="E296" s="7" t="s">
        <v>985</v>
      </c>
      <c r="F296" s="7" t="s">
        <v>986</v>
      </c>
      <c r="G296" s="7" t="s">
        <v>260</v>
      </c>
      <c r="H296" s="7" t="s">
        <v>261</v>
      </c>
      <c r="I296" s="7" t="s">
        <v>261</v>
      </c>
      <c r="J296" s="7" t="str">
        <f>IFERROR(__xludf.DUMMYFUNCTION("GOOGLETRANSLATE($I296, ""de"", ""en"")"),"NO SALARY DATA")</f>
        <v>NO SALARY DATA</v>
      </c>
      <c r="K296" s="7" t="s">
        <v>261</v>
      </c>
      <c r="L296" s="7" t="s">
        <v>327</v>
      </c>
      <c r="M296" s="7" t="s">
        <v>263</v>
      </c>
      <c r="N296" s="7" t="s">
        <v>260</v>
      </c>
      <c r="O296" s="7"/>
      <c r="P296" s="35"/>
      <c r="Q296" s="7"/>
    </row>
    <row r="297">
      <c r="A297" s="7">
        <v>292.0</v>
      </c>
      <c r="B297" s="7" t="s">
        <v>265</v>
      </c>
      <c r="C297" s="7" t="str">
        <f>IFERROR(__xludf.DUMMYFUNCTION("GOOGLETRANSLATE($B297, $A$2, $B$2)"),"More than 30 days ago")</f>
        <v>More than 30 days ago</v>
      </c>
      <c r="D297" s="7" t="s">
        <v>987</v>
      </c>
      <c r="E297" s="7" t="s">
        <v>271</v>
      </c>
      <c r="F297" s="7" t="s">
        <v>504</v>
      </c>
      <c r="G297" s="7" t="s">
        <v>260</v>
      </c>
      <c r="H297" s="7" t="s">
        <v>261</v>
      </c>
      <c r="I297" s="7" t="s">
        <v>261</v>
      </c>
      <c r="J297" s="7" t="str">
        <f>IFERROR(__xludf.DUMMYFUNCTION("GOOGLETRANSLATE($I297, ""de"", ""en"")"),"NO SALARY DATA")</f>
        <v>NO SALARY DATA</v>
      </c>
      <c r="K297" s="7" t="s">
        <v>261</v>
      </c>
      <c r="L297" s="7" t="s">
        <v>988</v>
      </c>
      <c r="M297" s="7" t="s">
        <v>263</v>
      </c>
      <c r="N297" s="7" t="s">
        <v>275</v>
      </c>
      <c r="O297" s="7"/>
      <c r="P297" s="37"/>
      <c r="Q297" s="7"/>
    </row>
    <row r="298">
      <c r="A298" s="7">
        <v>293.0</v>
      </c>
      <c r="B298" s="7" t="s">
        <v>265</v>
      </c>
      <c r="C298" s="7" t="str">
        <f>IFERROR(__xludf.DUMMYFUNCTION("GOOGLETRANSLATE($B298, $A$2, $B$2)"),"More than 30 days ago")</f>
        <v>More than 30 days ago</v>
      </c>
      <c r="D298" s="7" t="s">
        <v>989</v>
      </c>
      <c r="E298" s="7" t="s">
        <v>343</v>
      </c>
      <c r="F298" s="7" t="s">
        <v>542</v>
      </c>
      <c r="G298" s="7" t="s">
        <v>260</v>
      </c>
      <c r="H298" s="7" t="s">
        <v>261</v>
      </c>
      <c r="I298" s="7" t="s">
        <v>261</v>
      </c>
      <c r="J298" s="7" t="str">
        <f>IFERROR(__xludf.DUMMYFUNCTION("GOOGLETRANSLATE($I298, ""de"", ""en"")"),"NO SALARY DATA")</f>
        <v>NO SALARY DATA</v>
      </c>
      <c r="K298" s="7" t="s">
        <v>261</v>
      </c>
      <c r="L298" s="7" t="s">
        <v>954</v>
      </c>
      <c r="M298" s="7" t="s">
        <v>263</v>
      </c>
      <c r="N298" s="7" t="s">
        <v>260</v>
      </c>
      <c r="O298" s="7"/>
      <c r="P298" s="37"/>
      <c r="Q298" s="7"/>
    </row>
    <row r="299">
      <c r="A299" s="7">
        <v>294.0</v>
      </c>
      <c r="B299" s="7" t="s">
        <v>265</v>
      </c>
      <c r="C299" s="7" t="str">
        <f>IFERROR(__xludf.DUMMYFUNCTION("GOOGLETRANSLATE($B299, $A$2, $B$2)"),"More than 30 days ago")</f>
        <v>More than 30 days ago</v>
      </c>
      <c r="D299" s="7" t="s">
        <v>990</v>
      </c>
      <c r="E299" s="7" t="s">
        <v>401</v>
      </c>
      <c r="F299" s="7" t="s">
        <v>502</v>
      </c>
      <c r="G299" s="7" t="s">
        <v>260</v>
      </c>
      <c r="H299" s="7" t="s">
        <v>261</v>
      </c>
      <c r="I299" s="7" t="s">
        <v>261</v>
      </c>
      <c r="J299" s="7" t="str">
        <f>IFERROR(__xludf.DUMMYFUNCTION("GOOGLETRANSLATE($I299, ""de"", ""en"")"),"NO SALARY DATA")</f>
        <v>NO SALARY DATA</v>
      </c>
      <c r="K299" s="7" t="s">
        <v>261</v>
      </c>
      <c r="L299" s="7" t="s">
        <v>991</v>
      </c>
      <c r="M299" s="7" t="s">
        <v>263</v>
      </c>
      <c r="N299" s="7" t="s">
        <v>260</v>
      </c>
      <c r="O299" s="7"/>
      <c r="P299" s="35"/>
      <c r="Q299" s="7"/>
    </row>
    <row r="300">
      <c r="A300" s="7">
        <v>295.0</v>
      </c>
      <c r="B300" s="7" t="s">
        <v>265</v>
      </c>
      <c r="C300" s="7" t="str">
        <f>IFERROR(__xludf.DUMMYFUNCTION("GOOGLETRANSLATE($B300, $A$2, $B$2)"),"More than 30 days ago")</f>
        <v>More than 30 days ago</v>
      </c>
      <c r="D300" s="7" t="s">
        <v>803</v>
      </c>
      <c r="E300" s="7" t="s">
        <v>804</v>
      </c>
      <c r="F300" s="7" t="s">
        <v>805</v>
      </c>
      <c r="G300" s="7" t="s">
        <v>260</v>
      </c>
      <c r="H300" s="7" t="s">
        <v>261</v>
      </c>
      <c r="I300" s="7" t="s">
        <v>261</v>
      </c>
      <c r="J300" s="7" t="str">
        <f>IFERROR(__xludf.DUMMYFUNCTION("GOOGLETRANSLATE($I300, ""de"", ""en"")"),"NO SALARY DATA")</f>
        <v>NO SALARY DATA</v>
      </c>
      <c r="K300" s="7" t="s">
        <v>261</v>
      </c>
      <c r="L300" s="7" t="s">
        <v>806</v>
      </c>
      <c r="M300" s="7" t="s">
        <v>263</v>
      </c>
      <c r="N300" s="7" t="s">
        <v>301</v>
      </c>
      <c r="O300" s="7"/>
      <c r="P300" s="35"/>
      <c r="Q300" s="7"/>
    </row>
    <row r="301">
      <c r="A301" s="7">
        <v>296.0</v>
      </c>
      <c r="B301" s="7" t="s">
        <v>371</v>
      </c>
      <c r="C301" s="7" t="str">
        <f>IFERROR(__xludf.DUMMYFUNCTION("GOOGLETRANSLATE($B301, $A$2, $B$2)"),"Straight")</f>
        <v>Straight</v>
      </c>
      <c r="D301" s="7" t="s">
        <v>992</v>
      </c>
      <c r="E301" s="7" t="s">
        <v>993</v>
      </c>
      <c r="F301" s="7" t="s">
        <v>994</v>
      </c>
      <c r="G301" s="7" t="s">
        <v>260</v>
      </c>
      <c r="H301" s="7" t="s">
        <v>261</v>
      </c>
      <c r="I301" s="7" t="s">
        <v>261</v>
      </c>
      <c r="J301" s="7" t="str">
        <f>IFERROR(__xludf.DUMMYFUNCTION("GOOGLETRANSLATE($I301, ""de"", ""en"")"),"NO SALARY DATA")</f>
        <v>NO SALARY DATA</v>
      </c>
      <c r="K301" s="7" t="s">
        <v>261</v>
      </c>
      <c r="L301" s="7" t="s">
        <v>756</v>
      </c>
      <c r="M301" s="7" t="s">
        <v>263</v>
      </c>
      <c r="N301" s="7" t="s">
        <v>434</v>
      </c>
      <c r="O301" s="7"/>
      <c r="P301" s="35"/>
      <c r="Q301" s="7"/>
    </row>
    <row r="302">
      <c r="A302" s="7">
        <v>297.0</v>
      </c>
      <c r="B302" s="7" t="s">
        <v>265</v>
      </c>
      <c r="C302" s="7" t="str">
        <f>IFERROR(__xludf.DUMMYFUNCTION("GOOGLETRANSLATE($B302, $A$2, $B$2)"),"More than 30 days ago")</f>
        <v>More than 30 days ago</v>
      </c>
      <c r="D302" s="7" t="s">
        <v>995</v>
      </c>
      <c r="E302" s="7" t="s">
        <v>258</v>
      </c>
      <c r="F302" s="7" t="s">
        <v>799</v>
      </c>
      <c r="G302" s="7" t="s">
        <v>260</v>
      </c>
      <c r="H302" s="7" t="s">
        <v>261</v>
      </c>
      <c r="I302" s="7" t="s">
        <v>261</v>
      </c>
      <c r="J302" s="7" t="str">
        <f>IFERROR(__xludf.DUMMYFUNCTION("GOOGLETRANSLATE($I302, ""de"", ""en"")"),"NO SALARY DATA")</f>
        <v>NO SALARY DATA</v>
      </c>
      <c r="K302" s="7" t="s">
        <v>261</v>
      </c>
      <c r="L302" s="7" t="s">
        <v>996</v>
      </c>
      <c r="M302" s="7" t="s">
        <v>263</v>
      </c>
      <c r="N302" s="7" t="s">
        <v>486</v>
      </c>
      <c r="O302" s="7"/>
      <c r="P302" s="37"/>
      <c r="Q302" s="7"/>
    </row>
    <row r="303">
      <c r="A303" s="7">
        <v>298.0</v>
      </c>
      <c r="B303" s="7" t="s">
        <v>508</v>
      </c>
      <c r="C303" s="7" t="str">
        <f>IFERROR(__xludf.DUMMYFUNCTION("GOOGLETRANSLATE($B303, $A$2, $B$2)"),"24 days ago")</f>
        <v>24 days ago</v>
      </c>
      <c r="D303" s="7" t="s">
        <v>997</v>
      </c>
      <c r="E303" s="7" t="s">
        <v>271</v>
      </c>
      <c r="F303" s="7" t="s">
        <v>998</v>
      </c>
      <c r="G303" s="7" t="s">
        <v>260</v>
      </c>
      <c r="H303" s="7" t="s">
        <v>261</v>
      </c>
      <c r="I303" s="7" t="s">
        <v>261</v>
      </c>
      <c r="J303" s="7" t="str">
        <f>IFERROR(__xludf.DUMMYFUNCTION("GOOGLETRANSLATE($I303, ""de"", ""en"")"),"NO SALARY DATA")</f>
        <v>NO SALARY DATA</v>
      </c>
      <c r="K303" s="7" t="s">
        <v>261</v>
      </c>
      <c r="L303" s="7" t="s">
        <v>999</v>
      </c>
      <c r="M303" s="7" t="s">
        <v>452</v>
      </c>
      <c r="N303" s="7" t="s">
        <v>260</v>
      </c>
      <c r="O303" s="7"/>
      <c r="P303" s="35"/>
      <c r="Q303" s="7"/>
    </row>
    <row r="304">
      <c r="A304" s="7">
        <v>299.0</v>
      </c>
      <c r="B304" s="7" t="s">
        <v>265</v>
      </c>
      <c r="C304" s="7" t="str">
        <f>IFERROR(__xludf.DUMMYFUNCTION("GOOGLETRANSLATE($B304, $A$2, $B$2)"),"More than 30 days ago")</f>
        <v>More than 30 days ago</v>
      </c>
      <c r="D304" s="7" t="s">
        <v>1000</v>
      </c>
      <c r="E304" s="7" t="s">
        <v>271</v>
      </c>
      <c r="F304" s="7" t="s">
        <v>221</v>
      </c>
      <c r="G304" s="7" t="s">
        <v>260</v>
      </c>
      <c r="H304" s="7" t="s">
        <v>261</v>
      </c>
      <c r="I304" s="7" t="s">
        <v>261</v>
      </c>
      <c r="J304" s="7" t="str">
        <f>IFERROR(__xludf.DUMMYFUNCTION("GOOGLETRANSLATE($I304, ""de"", ""en"")"),"NO SALARY DATA")</f>
        <v>NO SALARY DATA</v>
      </c>
      <c r="K304" s="7" t="s">
        <v>261</v>
      </c>
      <c r="L304" s="7"/>
      <c r="M304" s="7" t="s">
        <v>263</v>
      </c>
      <c r="N304" s="7" t="s">
        <v>336</v>
      </c>
      <c r="O304" s="7"/>
      <c r="P304" s="37"/>
      <c r="Q304" s="7"/>
    </row>
    <row r="305">
      <c r="A305" s="7">
        <v>300.0</v>
      </c>
      <c r="B305" s="7" t="s">
        <v>346</v>
      </c>
      <c r="C305" s="7" t="str">
        <f>IFERROR(__xludf.DUMMYFUNCTION("GOOGLETRANSLATE($B305, $A$2, $B$2)"),"12 days ago")</f>
        <v>12 days ago</v>
      </c>
      <c r="D305" s="7" t="s">
        <v>1001</v>
      </c>
      <c r="E305" s="7" t="s">
        <v>258</v>
      </c>
      <c r="F305" s="7" t="s">
        <v>1002</v>
      </c>
      <c r="G305" s="7" t="s">
        <v>260</v>
      </c>
      <c r="H305" s="7" t="s">
        <v>261</v>
      </c>
      <c r="I305" s="7" t="s">
        <v>261</v>
      </c>
      <c r="J305" s="7" t="str">
        <f>IFERROR(__xludf.DUMMYFUNCTION("GOOGLETRANSLATE($I305, ""de"", ""en"")"),"NO SALARY DATA")</f>
        <v>NO SALARY DATA</v>
      </c>
      <c r="K305" s="7" t="s">
        <v>261</v>
      </c>
      <c r="L305" s="7" t="s">
        <v>830</v>
      </c>
      <c r="M305" s="7" t="s">
        <v>263</v>
      </c>
      <c r="N305" s="7" t="s">
        <v>260</v>
      </c>
      <c r="O305" s="7"/>
      <c r="P305" s="35"/>
      <c r="Q305" s="7"/>
    </row>
    <row r="306">
      <c r="A306" s="7">
        <v>301.0</v>
      </c>
      <c r="B306" s="7" t="s">
        <v>265</v>
      </c>
      <c r="C306" s="7" t="str">
        <f>IFERROR(__xludf.DUMMYFUNCTION("GOOGLETRANSLATE($B306, $A$2, $B$2)"),"More than 30 days ago")</f>
        <v>More than 30 days ago</v>
      </c>
      <c r="D306" s="7" t="s">
        <v>965</v>
      </c>
      <c r="E306" s="7" t="s">
        <v>258</v>
      </c>
      <c r="F306" s="7" t="s">
        <v>1003</v>
      </c>
      <c r="G306" s="7" t="s">
        <v>260</v>
      </c>
      <c r="H306" s="7" t="s">
        <v>261</v>
      </c>
      <c r="I306" s="7" t="s">
        <v>261</v>
      </c>
      <c r="J306" s="7" t="str">
        <f>IFERROR(__xludf.DUMMYFUNCTION("GOOGLETRANSLATE($I306, ""de"", ""en"")"),"NO SALARY DATA")</f>
        <v>NO SALARY DATA</v>
      </c>
      <c r="K306" s="7" t="s">
        <v>261</v>
      </c>
      <c r="L306" s="7" t="s">
        <v>425</v>
      </c>
      <c r="M306" s="7" t="s">
        <v>263</v>
      </c>
      <c r="N306" s="7" t="s">
        <v>819</v>
      </c>
      <c r="O306" s="7"/>
      <c r="P306" s="37"/>
      <c r="Q306" s="7"/>
    </row>
    <row r="307">
      <c r="A307" s="7">
        <v>302.0</v>
      </c>
      <c r="B307" s="7" t="s">
        <v>621</v>
      </c>
      <c r="C307" s="7" t="str">
        <f>IFERROR(__xludf.DUMMYFUNCTION("GOOGLETRANSLATE($B307, $A$2, $B$2)"),"20 days ago")</f>
        <v>20 days ago</v>
      </c>
      <c r="D307" s="7" t="s">
        <v>1004</v>
      </c>
      <c r="E307" s="7" t="s">
        <v>548</v>
      </c>
      <c r="F307" s="7" t="s">
        <v>1005</v>
      </c>
      <c r="G307" s="7" t="s">
        <v>260</v>
      </c>
      <c r="H307" s="7" t="s">
        <v>261</v>
      </c>
      <c r="I307" s="7" t="s">
        <v>261</v>
      </c>
      <c r="J307" s="7" t="str">
        <f>IFERROR(__xludf.DUMMYFUNCTION("GOOGLETRANSLATE($I307, ""de"", ""en"")"),"NO SALARY DATA")</f>
        <v>NO SALARY DATA</v>
      </c>
      <c r="K307" s="7" t="s">
        <v>261</v>
      </c>
      <c r="L307" s="7" t="s">
        <v>423</v>
      </c>
      <c r="M307" s="7" t="s">
        <v>263</v>
      </c>
      <c r="N307" s="7" t="s">
        <v>260</v>
      </c>
      <c r="O307" s="7"/>
      <c r="P307" s="35"/>
      <c r="Q307" s="7"/>
    </row>
    <row r="308">
      <c r="A308" s="7">
        <v>303.0</v>
      </c>
      <c r="B308" s="7" t="s">
        <v>265</v>
      </c>
      <c r="C308" s="7" t="str">
        <f>IFERROR(__xludf.DUMMYFUNCTION("GOOGLETRANSLATE($B308, $A$2, $B$2)"),"More than 30 days ago")</f>
        <v>More than 30 days ago</v>
      </c>
      <c r="D308" s="7" t="s">
        <v>1006</v>
      </c>
      <c r="E308" s="7" t="s">
        <v>258</v>
      </c>
      <c r="F308" s="7" t="s">
        <v>1003</v>
      </c>
      <c r="G308" s="7" t="s">
        <v>260</v>
      </c>
      <c r="H308" s="7" t="s">
        <v>261</v>
      </c>
      <c r="I308" s="7" t="s">
        <v>261</v>
      </c>
      <c r="J308" s="7" t="str">
        <f>IFERROR(__xludf.DUMMYFUNCTION("GOOGLETRANSLATE($I308, ""de"", ""en"")"),"NO SALARY DATA")</f>
        <v>NO SALARY DATA</v>
      </c>
      <c r="K308" s="7" t="s">
        <v>261</v>
      </c>
      <c r="L308" s="7" t="s">
        <v>339</v>
      </c>
      <c r="M308" s="7" t="s">
        <v>263</v>
      </c>
      <c r="N308" s="7" t="s">
        <v>819</v>
      </c>
      <c r="O308" s="7"/>
      <c r="P308" s="35"/>
      <c r="Q308" s="7"/>
    </row>
    <row r="309">
      <c r="A309" s="7">
        <v>304.0</v>
      </c>
      <c r="B309" s="7" t="s">
        <v>265</v>
      </c>
      <c r="C309" s="7" t="str">
        <f>IFERROR(__xludf.DUMMYFUNCTION("GOOGLETRANSLATE($B309, $A$2, $B$2)"),"More than 30 days ago")</f>
        <v>More than 30 days ago</v>
      </c>
      <c r="D309" s="7" t="s">
        <v>786</v>
      </c>
      <c r="E309" s="7" t="s">
        <v>633</v>
      </c>
      <c r="F309" s="7" t="s">
        <v>787</v>
      </c>
      <c r="G309" s="7" t="s">
        <v>260</v>
      </c>
      <c r="H309" s="7" t="s">
        <v>261</v>
      </c>
      <c r="I309" s="7" t="s">
        <v>261</v>
      </c>
      <c r="J309" s="7" t="str">
        <f>IFERROR(__xludf.DUMMYFUNCTION("GOOGLETRANSLATE($I309, ""de"", ""en"")"),"NO SALARY DATA")</f>
        <v>NO SALARY DATA</v>
      </c>
      <c r="K309" s="7" t="s">
        <v>261</v>
      </c>
      <c r="L309" s="7" t="s">
        <v>429</v>
      </c>
      <c r="M309" s="7" t="s">
        <v>263</v>
      </c>
      <c r="N309" s="7" t="s">
        <v>788</v>
      </c>
      <c r="O309" s="7"/>
      <c r="P309" s="37"/>
      <c r="Q309" s="7"/>
    </row>
    <row r="310">
      <c r="A310" s="7">
        <v>305.0</v>
      </c>
      <c r="B310" s="7" t="s">
        <v>621</v>
      </c>
      <c r="C310" s="7" t="str">
        <f>IFERROR(__xludf.DUMMYFUNCTION("GOOGLETRANSLATE($B310, $A$2, $B$2)"),"20 days ago")</f>
        <v>20 days ago</v>
      </c>
      <c r="D310" s="7" t="s">
        <v>1007</v>
      </c>
      <c r="E310" s="7" t="s">
        <v>271</v>
      </c>
      <c r="F310" s="7" t="s">
        <v>1008</v>
      </c>
      <c r="G310" s="7" t="s">
        <v>260</v>
      </c>
      <c r="H310" s="7" t="s">
        <v>261</v>
      </c>
      <c r="I310" s="7" t="s">
        <v>261</v>
      </c>
      <c r="J310" s="7" t="str">
        <f>IFERROR(__xludf.DUMMYFUNCTION("GOOGLETRANSLATE($I310, ""de"", ""en"")"),"NO SALARY DATA")</f>
        <v>NO SALARY DATA</v>
      </c>
      <c r="K310" s="7" t="s">
        <v>261</v>
      </c>
      <c r="L310" s="7" t="s">
        <v>1009</v>
      </c>
      <c r="M310" s="7" t="s">
        <v>673</v>
      </c>
      <c r="N310" s="7" t="s">
        <v>260</v>
      </c>
      <c r="O310" s="7"/>
      <c r="P310" s="35"/>
      <c r="Q310" s="7"/>
    </row>
    <row r="311">
      <c r="A311" s="7">
        <v>306.0</v>
      </c>
      <c r="B311" s="7" t="s">
        <v>650</v>
      </c>
      <c r="C311" s="7" t="str">
        <f>IFERROR(__xludf.DUMMYFUNCTION("GOOGLETRANSLATE($B311, $A$2, $B$2)"),"16 days ago")</f>
        <v>16 days ago</v>
      </c>
      <c r="D311" s="7" t="s">
        <v>1010</v>
      </c>
      <c r="E311" s="7" t="s">
        <v>343</v>
      </c>
      <c r="F311" s="7" t="s">
        <v>642</v>
      </c>
      <c r="G311" s="7" t="s">
        <v>260</v>
      </c>
      <c r="H311" s="7" t="s">
        <v>261</v>
      </c>
      <c r="I311" s="7" t="s">
        <v>261</v>
      </c>
      <c r="J311" s="7" t="str">
        <f>IFERROR(__xludf.DUMMYFUNCTION("GOOGLETRANSLATE($I311, ""de"", ""en"")"),"NO SALARY DATA")</f>
        <v>NO SALARY DATA</v>
      </c>
      <c r="K311" s="7" t="s">
        <v>261</v>
      </c>
      <c r="L311" s="7" t="s">
        <v>806</v>
      </c>
      <c r="M311" s="7" t="s">
        <v>263</v>
      </c>
      <c r="N311" s="7" t="s">
        <v>275</v>
      </c>
      <c r="O311" s="7"/>
      <c r="P311" s="37"/>
      <c r="Q311" s="7"/>
    </row>
    <row r="312">
      <c r="A312" s="7">
        <v>307.0</v>
      </c>
      <c r="B312" s="7" t="s">
        <v>265</v>
      </c>
      <c r="C312" s="7" t="str">
        <f>IFERROR(__xludf.DUMMYFUNCTION("GOOGLETRANSLATE($B312, $A$2, $B$2)"),"More than 30 days ago")</f>
        <v>More than 30 days ago</v>
      </c>
      <c r="D312" s="7" t="s">
        <v>1011</v>
      </c>
      <c r="E312" s="7" t="s">
        <v>343</v>
      </c>
      <c r="F312" s="7" t="s">
        <v>869</v>
      </c>
      <c r="G312" s="7" t="s">
        <v>1012</v>
      </c>
      <c r="H312" s="7">
        <v>46000.0</v>
      </c>
      <c r="I312" s="7" t="s">
        <v>384</v>
      </c>
      <c r="J312" s="7" t="str">
        <f>IFERROR(__xludf.DUMMYFUNCTION("GOOGLETRANSLATE($I312, ""de"", ""en"")"),"year")</f>
        <v>year</v>
      </c>
      <c r="K312" s="7">
        <v>46000.0</v>
      </c>
      <c r="L312" s="7" t="s">
        <v>1013</v>
      </c>
      <c r="M312" s="7" t="s">
        <v>263</v>
      </c>
      <c r="N312" s="7" t="s">
        <v>260</v>
      </c>
      <c r="O312" s="7"/>
      <c r="P312" s="35"/>
      <c r="Q312" s="7"/>
    </row>
    <row r="313">
      <c r="A313" s="7">
        <v>308.0</v>
      </c>
      <c r="B313" s="7" t="s">
        <v>265</v>
      </c>
      <c r="C313" s="7" t="str">
        <f>IFERROR(__xludf.DUMMYFUNCTION("GOOGLETRANSLATE($B313, $A$2, $B$2)"),"More than 30 days ago")</f>
        <v>More than 30 days ago</v>
      </c>
      <c r="D313" s="7" t="s">
        <v>685</v>
      </c>
      <c r="E313" s="7" t="s">
        <v>280</v>
      </c>
      <c r="F313" s="7" t="s">
        <v>1014</v>
      </c>
      <c r="G313" s="7" t="s">
        <v>260</v>
      </c>
      <c r="H313" s="7" t="s">
        <v>261</v>
      </c>
      <c r="I313" s="7" t="s">
        <v>261</v>
      </c>
      <c r="J313" s="7" t="str">
        <f>IFERROR(__xludf.DUMMYFUNCTION("GOOGLETRANSLATE($I313, ""de"", ""en"")"),"NO SALARY DATA")</f>
        <v>NO SALARY DATA</v>
      </c>
      <c r="K313" s="7" t="s">
        <v>261</v>
      </c>
      <c r="L313" s="7" t="s">
        <v>327</v>
      </c>
      <c r="M313" s="7" t="s">
        <v>263</v>
      </c>
      <c r="N313" s="7" t="s">
        <v>420</v>
      </c>
      <c r="O313" s="7"/>
      <c r="P313" s="35"/>
      <c r="Q313" s="7"/>
    </row>
    <row r="314">
      <c r="A314" s="7">
        <v>309.0</v>
      </c>
      <c r="B314" s="7" t="s">
        <v>265</v>
      </c>
      <c r="C314" s="7" t="str">
        <f>IFERROR(__xludf.DUMMYFUNCTION("GOOGLETRANSLATE($B314, $A$2, $B$2)"),"More than 30 days ago")</f>
        <v>More than 30 days ago</v>
      </c>
      <c r="D314" s="7" t="s">
        <v>1015</v>
      </c>
      <c r="E314" s="7" t="s">
        <v>271</v>
      </c>
      <c r="F314" s="7" t="s">
        <v>1016</v>
      </c>
      <c r="G314" s="7" t="s">
        <v>260</v>
      </c>
      <c r="H314" s="7" t="s">
        <v>261</v>
      </c>
      <c r="I314" s="7" t="s">
        <v>261</v>
      </c>
      <c r="J314" s="7" t="str">
        <f>IFERROR(__xludf.DUMMYFUNCTION("GOOGLETRANSLATE($I314, ""de"", ""en"")"),"NO SALARY DATA")</f>
        <v>NO SALARY DATA</v>
      </c>
      <c r="K314" s="7" t="s">
        <v>261</v>
      </c>
      <c r="L314" s="7" t="s">
        <v>649</v>
      </c>
      <c r="M314" s="7" t="s">
        <v>263</v>
      </c>
      <c r="N314" s="7" t="s">
        <v>532</v>
      </c>
      <c r="O314" s="7"/>
      <c r="P314" s="35"/>
      <c r="Q314" s="7"/>
    </row>
    <row r="315">
      <c r="A315" s="7">
        <v>310.0</v>
      </c>
      <c r="B315" s="7" t="s">
        <v>265</v>
      </c>
      <c r="C315" s="7" t="str">
        <f>IFERROR(__xludf.DUMMYFUNCTION("GOOGLETRANSLATE($B315, $A$2, $B$2)"),"More than 30 days ago")</f>
        <v>More than 30 days ago</v>
      </c>
      <c r="D315" s="7" t="s">
        <v>1017</v>
      </c>
      <c r="E315" s="7" t="s">
        <v>348</v>
      </c>
      <c r="F315" s="7" t="s">
        <v>1018</v>
      </c>
      <c r="G315" s="7" t="s">
        <v>260</v>
      </c>
      <c r="H315" s="7" t="s">
        <v>261</v>
      </c>
      <c r="I315" s="7" t="s">
        <v>261</v>
      </c>
      <c r="J315" s="7" t="str">
        <f>IFERROR(__xludf.DUMMYFUNCTION("GOOGLETRANSLATE($I315, ""de"", ""en"")"),"NO SALARY DATA")</f>
        <v>NO SALARY DATA</v>
      </c>
      <c r="K315" s="7" t="s">
        <v>261</v>
      </c>
      <c r="L315" s="7" t="s">
        <v>852</v>
      </c>
      <c r="M315" s="7" t="s">
        <v>263</v>
      </c>
      <c r="N315" s="7" t="s">
        <v>819</v>
      </c>
      <c r="O315" s="7"/>
      <c r="P315" s="37"/>
      <c r="Q315" s="7"/>
    </row>
    <row r="316">
      <c r="A316" s="7">
        <v>311.0</v>
      </c>
      <c r="B316" s="7" t="s">
        <v>265</v>
      </c>
      <c r="C316" s="7" t="str">
        <f>IFERROR(__xludf.DUMMYFUNCTION("GOOGLETRANSLATE($B316, $A$2, $B$2)"),"More than 30 days ago")</f>
        <v>More than 30 days ago</v>
      </c>
      <c r="D316" s="7" t="s">
        <v>1019</v>
      </c>
      <c r="E316" s="7" t="s">
        <v>480</v>
      </c>
      <c r="F316" s="7" t="s">
        <v>1020</v>
      </c>
      <c r="G316" s="7" t="s">
        <v>260</v>
      </c>
      <c r="H316" s="7" t="s">
        <v>261</v>
      </c>
      <c r="I316" s="7" t="s">
        <v>261</v>
      </c>
      <c r="J316" s="7" t="str">
        <f>IFERROR(__xludf.DUMMYFUNCTION("GOOGLETRANSLATE($I316, ""de"", ""en"")"),"NO SALARY DATA")</f>
        <v>NO SALARY DATA</v>
      </c>
      <c r="K316" s="7" t="s">
        <v>261</v>
      </c>
      <c r="L316" s="7" t="s">
        <v>1021</v>
      </c>
      <c r="M316" s="7" t="s">
        <v>263</v>
      </c>
      <c r="N316" s="7" t="s">
        <v>260</v>
      </c>
      <c r="O316" s="7"/>
      <c r="P316" s="37"/>
      <c r="Q316" s="7"/>
    </row>
    <row r="317">
      <c r="A317" s="7">
        <v>312.0</v>
      </c>
      <c r="B317" s="7" t="s">
        <v>265</v>
      </c>
      <c r="C317" s="7" t="str">
        <f>IFERROR(__xludf.DUMMYFUNCTION("GOOGLETRANSLATE($B317, $A$2, $B$2)"),"More than 30 days ago")</f>
        <v>More than 30 days ago</v>
      </c>
      <c r="D317" s="7" t="s">
        <v>1022</v>
      </c>
      <c r="E317" s="7" t="s">
        <v>1023</v>
      </c>
      <c r="F317" s="7" t="s">
        <v>1024</v>
      </c>
      <c r="G317" s="7" t="s">
        <v>260</v>
      </c>
      <c r="H317" s="7" t="s">
        <v>261</v>
      </c>
      <c r="I317" s="7" t="s">
        <v>261</v>
      </c>
      <c r="J317" s="7" t="str">
        <f>IFERROR(__xludf.DUMMYFUNCTION("GOOGLETRANSLATE($I317, ""de"", ""en"")"),"NO SALARY DATA")</f>
        <v>NO SALARY DATA</v>
      </c>
      <c r="K317" s="7" t="s">
        <v>261</v>
      </c>
      <c r="L317" s="7" t="s">
        <v>1025</v>
      </c>
      <c r="M317" s="7" t="s">
        <v>263</v>
      </c>
      <c r="N317" s="7" t="s">
        <v>260</v>
      </c>
      <c r="O317" s="7"/>
      <c r="P317" s="35"/>
      <c r="Q317" s="7"/>
    </row>
    <row r="318">
      <c r="A318" s="7">
        <v>313.0</v>
      </c>
      <c r="B318" s="7" t="s">
        <v>265</v>
      </c>
      <c r="C318" s="7" t="str">
        <f>IFERROR(__xludf.DUMMYFUNCTION("GOOGLETRANSLATE($B318, $A$2, $B$2)"),"More than 30 days ago")</f>
        <v>More than 30 days ago</v>
      </c>
      <c r="D318" s="7" t="s">
        <v>1026</v>
      </c>
      <c r="E318" s="7" t="s">
        <v>343</v>
      </c>
      <c r="F318" s="7" t="s">
        <v>506</v>
      </c>
      <c r="G318" s="7" t="s">
        <v>260</v>
      </c>
      <c r="H318" s="7" t="s">
        <v>261</v>
      </c>
      <c r="I318" s="7" t="s">
        <v>261</v>
      </c>
      <c r="J318" s="7" t="str">
        <f>IFERROR(__xludf.DUMMYFUNCTION("GOOGLETRANSLATE($I318, ""de"", ""en"")"),"NO SALARY DATA")</f>
        <v>NO SALARY DATA</v>
      </c>
      <c r="K318" s="7" t="s">
        <v>261</v>
      </c>
      <c r="L318" s="7" t="s">
        <v>312</v>
      </c>
      <c r="M318" s="7" t="s">
        <v>263</v>
      </c>
      <c r="N318" s="7" t="s">
        <v>507</v>
      </c>
      <c r="O318" s="7"/>
      <c r="P318" s="35"/>
      <c r="Q318" s="7"/>
    </row>
    <row r="319">
      <c r="A319" s="7">
        <v>314.0</v>
      </c>
      <c r="B319" s="7" t="s">
        <v>265</v>
      </c>
      <c r="C319" s="7" t="str">
        <f>IFERROR(__xludf.DUMMYFUNCTION("GOOGLETRANSLATE($B319, $A$2, $B$2)"),"More than 30 days ago")</f>
        <v>More than 30 days ago</v>
      </c>
      <c r="D319" s="7" t="s">
        <v>1027</v>
      </c>
      <c r="E319" s="7" t="s">
        <v>348</v>
      </c>
      <c r="F319" s="7" t="s">
        <v>1028</v>
      </c>
      <c r="G319" s="7" t="s">
        <v>260</v>
      </c>
      <c r="H319" s="7" t="s">
        <v>261</v>
      </c>
      <c r="I319" s="7" t="s">
        <v>261</v>
      </c>
      <c r="J319" s="7" t="str">
        <f>IFERROR(__xludf.DUMMYFUNCTION("GOOGLETRANSLATE($I319, ""de"", ""en"")"),"NO SALARY DATA")</f>
        <v>NO SALARY DATA</v>
      </c>
      <c r="K319" s="7" t="s">
        <v>261</v>
      </c>
      <c r="L319" s="7" t="s">
        <v>282</v>
      </c>
      <c r="M319" s="7" t="s">
        <v>263</v>
      </c>
      <c r="N319" s="7" t="s">
        <v>704</v>
      </c>
      <c r="O319" s="7"/>
      <c r="P319" s="35"/>
      <c r="Q319" s="7"/>
    </row>
    <row r="320">
      <c r="A320" s="7">
        <v>315.0</v>
      </c>
      <c r="B320" s="7" t="s">
        <v>621</v>
      </c>
      <c r="C320" s="7" t="str">
        <f>IFERROR(__xludf.DUMMYFUNCTION("GOOGLETRANSLATE($B320, $A$2, $B$2)"),"20 days ago")</f>
        <v>20 days ago</v>
      </c>
      <c r="D320" s="7" t="s">
        <v>706</v>
      </c>
      <c r="E320" s="7" t="s">
        <v>480</v>
      </c>
      <c r="F320" s="7" t="s">
        <v>763</v>
      </c>
      <c r="G320" s="7" t="s">
        <v>260</v>
      </c>
      <c r="H320" s="7" t="s">
        <v>261</v>
      </c>
      <c r="I320" s="7" t="s">
        <v>261</v>
      </c>
      <c r="J320" s="7" t="str">
        <f>IFERROR(__xludf.DUMMYFUNCTION("GOOGLETRANSLATE($I320, ""de"", ""en"")"),"NO SALARY DATA")</f>
        <v>NO SALARY DATA</v>
      </c>
      <c r="K320" s="7" t="s">
        <v>261</v>
      </c>
      <c r="L320" s="7" t="s">
        <v>312</v>
      </c>
      <c r="M320" s="7" t="s">
        <v>263</v>
      </c>
      <c r="N320" s="7" t="s">
        <v>434</v>
      </c>
      <c r="O320" s="7"/>
      <c r="P320" s="37"/>
      <c r="Q320" s="7"/>
    </row>
    <row r="321">
      <c r="A321" s="7">
        <v>316.0</v>
      </c>
      <c r="B321" s="7" t="s">
        <v>302</v>
      </c>
      <c r="C321" s="7" t="str">
        <f>IFERROR(__xludf.DUMMYFUNCTION("GOOGLETRANSLATE($B321, $A$2, $B$2)"),"today")</f>
        <v>today</v>
      </c>
      <c r="D321" s="7" t="s">
        <v>1029</v>
      </c>
      <c r="E321" s="7" t="s">
        <v>408</v>
      </c>
      <c r="F321" s="7" t="s">
        <v>1030</v>
      </c>
      <c r="G321" s="7" t="s">
        <v>260</v>
      </c>
      <c r="H321" s="7" t="s">
        <v>261</v>
      </c>
      <c r="I321" s="7" t="s">
        <v>261</v>
      </c>
      <c r="J321" s="7" t="str">
        <f>IFERROR(__xludf.DUMMYFUNCTION("GOOGLETRANSLATE($I321, ""de"", ""en"")"),"NO SALARY DATA")</f>
        <v>NO SALARY DATA</v>
      </c>
      <c r="K321" s="7" t="s">
        <v>261</v>
      </c>
      <c r="L321" s="7" t="s">
        <v>345</v>
      </c>
      <c r="M321" s="7" t="s">
        <v>263</v>
      </c>
      <c r="N321" s="7" t="s">
        <v>260</v>
      </c>
      <c r="O321" s="7"/>
      <c r="P321" s="37"/>
      <c r="Q321" s="7"/>
    </row>
    <row r="322">
      <c r="A322" s="7">
        <v>317.0</v>
      </c>
      <c r="B322" s="7" t="s">
        <v>269</v>
      </c>
      <c r="C322" s="7" t="str">
        <f>IFERROR(__xludf.DUMMYFUNCTION("GOOGLETRANSLATE($B322, $A$2, $B$2)"),"5 days ago")</f>
        <v>5 days ago</v>
      </c>
      <c r="D322" s="7" t="s">
        <v>1031</v>
      </c>
      <c r="E322" s="7" t="s">
        <v>858</v>
      </c>
      <c r="F322" s="7" t="s">
        <v>1032</v>
      </c>
      <c r="G322" s="7" t="s">
        <v>260</v>
      </c>
      <c r="H322" s="7" t="s">
        <v>261</v>
      </c>
      <c r="I322" s="7" t="s">
        <v>261</v>
      </c>
      <c r="J322" s="7" t="str">
        <f>IFERROR(__xludf.DUMMYFUNCTION("GOOGLETRANSLATE($I322, ""de"", ""en"")"),"NO SALARY DATA")</f>
        <v>NO SALARY DATA</v>
      </c>
      <c r="K322" s="7" t="s">
        <v>261</v>
      </c>
      <c r="L322" s="7" t="s">
        <v>838</v>
      </c>
      <c r="M322" s="7" t="s">
        <v>263</v>
      </c>
      <c r="N322" s="7" t="s">
        <v>260</v>
      </c>
      <c r="O322" s="7"/>
      <c r="P322" s="37"/>
      <c r="Q322" s="7"/>
    </row>
    <row r="323">
      <c r="A323" s="7">
        <v>318.0</v>
      </c>
      <c r="B323" s="7" t="s">
        <v>265</v>
      </c>
      <c r="C323" s="7" t="str">
        <f>IFERROR(__xludf.DUMMYFUNCTION("GOOGLETRANSLATE($B323, $A$2, $B$2)"),"More than 30 days ago")</f>
        <v>More than 30 days ago</v>
      </c>
      <c r="D323" s="7" t="s">
        <v>1033</v>
      </c>
      <c r="E323" s="7" t="s">
        <v>548</v>
      </c>
      <c r="F323" s="7" t="s">
        <v>1034</v>
      </c>
      <c r="G323" s="7" t="s">
        <v>260</v>
      </c>
      <c r="H323" s="7" t="s">
        <v>261</v>
      </c>
      <c r="I323" s="7" t="s">
        <v>261</v>
      </c>
      <c r="J323" s="7" t="str">
        <f>IFERROR(__xludf.DUMMYFUNCTION("GOOGLETRANSLATE($I323, ""de"", ""en"")"),"NO SALARY DATA")</f>
        <v>NO SALARY DATA</v>
      </c>
      <c r="K323" s="7" t="s">
        <v>261</v>
      </c>
      <c r="L323" s="7" t="s">
        <v>555</v>
      </c>
      <c r="M323" s="7" t="s">
        <v>263</v>
      </c>
      <c r="N323" s="7" t="s">
        <v>260</v>
      </c>
      <c r="O323" s="7"/>
      <c r="P323" s="37"/>
      <c r="Q323" s="7"/>
    </row>
    <row r="324">
      <c r="A324" s="7">
        <v>319.0</v>
      </c>
      <c r="B324" s="7" t="s">
        <v>269</v>
      </c>
      <c r="C324" s="7" t="str">
        <f>IFERROR(__xludf.DUMMYFUNCTION("GOOGLETRANSLATE($B324, $A$2, $B$2)"),"5 days ago")</f>
        <v>5 days ago</v>
      </c>
      <c r="D324" s="7" t="s">
        <v>1035</v>
      </c>
      <c r="E324" s="7" t="s">
        <v>348</v>
      </c>
      <c r="F324" s="7" t="s">
        <v>1036</v>
      </c>
      <c r="G324" s="7" t="s">
        <v>260</v>
      </c>
      <c r="H324" s="7" t="s">
        <v>261</v>
      </c>
      <c r="I324" s="7" t="s">
        <v>261</v>
      </c>
      <c r="J324" s="7" t="str">
        <f>IFERROR(__xludf.DUMMYFUNCTION("GOOGLETRANSLATE($I324, ""de"", ""en"")"),"NO SALARY DATA")</f>
        <v>NO SALARY DATA</v>
      </c>
      <c r="K324" s="7" t="s">
        <v>261</v>
      </c>
      <c r="L324" s="7" t="s">
        <v>1037</v>
      </c>
      <c r="M324" s="7" t="s">
        <v>322</v>
      </c>
      <c r="N324" s="7" t="s">
        <v>260</v>
      </c>
      <c r="O324" s="7"/>
      <c r="P324" s="37"/>
      <c r="Q324" s="7"/>
    </row>
    <row r="325">
      <c r="A325" s="7">
        <v>320.0</v>
      </c>
      <c r="B325" s="7" t="s">
        <v>637</v>
      </c>
      <c r="C325" s="7" t="str">
        <f>IFERROR(__xludf.DUMMYFUNCTION("GOOGLETRANSLATE($B325, $A$2, $B$2)"),"17 days ago")</f>
        <v>17 days ago</v>
      </c>
      <c r="D325" s="7" t="s">
        <v>1038</v>
      </c>
      <c r="E325" s="7" t="s">
        <v>280</v>
      </c>
      <c r="F325" s="7" t="s">
        <v>1039</v>
      </c>
      <c r="G325" s="7" t="s">
        <v>260</v>
      </c>
      <c r="H325" s="7" t="s">
        <v>261</v>
      </c>
      <c r="I325" s="7" t="s">
        <v>261</v>
      </c>
      <c r="J325" s="7" t="str">
        <f>IFERROR(__xludf.DUMMYFUNCTION("GOOGLETRANSLATE($I325, ""de"", ""en"")"),"NO SALARY DATA")</f>
        <v>NO SALARY DATA</v>
      </c>
      <c r="K325" s="7" t="s">
        <v>261</v>
      </c>
      <c r="L325" s="7" t="s">
        <v>286</v>
      </c>
      <c r="M325" s="7" t="s">
        <v>263</v>
      </c>
      <c r="N325" s="7" t="s">
        <v>260</v>
      </c>
      <c r="O325" s="7"/>
      <c r="P325" s="35"/>
      <c r="Q325" s="7"/>
    </row>
    <row r="326">
      <c r="A326" s="7">
        <v>321.0</v>
      </c>
      <c r="B326" s="7" t="s">
        <v>265</v>
      </c>
      <c r="C326" s="7" t="str">
        <f>IFERROR(__xludf.DUMMYFUNCTION("GOOGLETRANSLATE($B326, $A$2, $B$2)"),"More than 30 days ago")</f>
        <v>More than 30 days ago</v>
      </c>
      <c r="D326" s="7" t="s">
        <v>1040</v>
      </c>
      <c r="E326" s="7" t="s">
        <v>271</v>
      </c>
      <c r="F326" s="7" t="s">
        <v>1041</v>
      </c>
      <c r="G326" s="7" t="s">
        <v>260</v>
      </c>
      <c r="H326" s="7" t="s">
        <v>261</v>
      </c>
      <c r="I326" s="7" t="s">
        <v>261</v>
      </c>
      <c r="J326" s="7" t="str">
        <f>IFERROR(__xludf.DUMMYFUNCTION("GOOGLETRANSLATE($I326, ""de"", ""en"")"),"NO SALARY DATA")</f>
        <v>NO SALARY DATA</v>
      </c>
      <c r="K326" s="7" t="s">
        <v>261</v>
      </c>
      <c r="L326" s="7" t="s">
        <v>1042</v>
      </c>
      <c r="M326" s="7" t="s">
        <v>274</v>
      </c>
      <c r="N326" s="7" t="s">
        <v>819</v>
      </c>
      <c r="O326" s="7"/>
      <c r="P326" s="37"/>
      <c r="Q326" s="7"/>
    </row>
    <row r="327">
      <c r="A327" s="7">
        <v>322.0</v>
      </c>
      <c r="B327" s="7" t="s">
        <v>265</v>
      </c>
      <c r="C327" s="7" t="str">
        <f>IFERROR(__xludf.DUMMYFUNCTION("GOOGLETRANSLATE($B327, $A$2, $B$2)"),"More than 30 days ago")</f>
        <v>More than 30 days ago</v>
      </c>
      <c r="D327" s="7" t="s">
        <v>1043</v>
      </c>
      <c r="E327" s="7" t="s">
        <v>1044</v>
      </c>
      <c r="F327" s="7" t="s">
        <v>1045</v>
      </c>
      <c r="G327" s="7" t="s">
        <v>260</v>
      </c>
      <c r="H327" s="7" t="s">
        <v>261</v>
      </c>
      <c r="I327" s="7" t="s">
        <v>261</v>
      </c>
      <c r="J327" s="7" t="str">
        <f>IFERROR(__xludf.DUMMYFUNCTION("GOOGLETRANSLATE($I327, ""de"", ""en"")"),"NO SALARY DATA")</f>
        <v>NO SALARY DATA</v>
      </c>
      <c r="K327" s="7" t="s">
        <v>261</v>
      </c>
      <c r="L327" s="7"/>
      <c r="M327" s="7" t="s">
        <v>263</v>
      </c>
      <c r="N327" s="7" t="s">
        <v>260</v>
      </c>
      <c r="O327" s="7"/>
      <c r="P327" s="37"/>
      <c r="Q327" s="7"/>
    </row>
    <row r="328">
      <c r="A328" s="7">
        <v>323.0</v>
      </c>
      <c r="B328" s="7" t="s">
        <v>371</v>
      </c>
      <c r="C328" s="7" t="str">
        <f>IFERROR(__xludf.DUMMYFUNCTION("GOOGLETRANSLATE($B328, $A$2, $B$2)"),"Straight")</f>
        <v>Straight</v>
      </c>
      <c r="D328" s="7" t="s">
        <v>1046</v>
      </c>
      <c r="E328" s="7" t="s">
        <v>629</v>
      </c>
      <c r="F328" s="7" t="s">
        <v>895</v>
      </c>
      <c r="G328" s="7" t="s">
        <v>260</v>
      </c>
      <c r="H328" s="7" t="s">
        <v>261</v>
      </c>
      <c r="I328" s="7" t="s">
        <v>261</v>
      </c>
      <c r="J328" s="7" t="str">
        <f>IFERROR(__xludf.DUMMYFUNCTION("GOOGLETRANSLATE($I328, ""de"", ""en"")"),"NO SALARY DATA")</f>
        <v>NO SALARY DATA</v>
      </c>
      <c r="K328" s="7" t="s">
        <v>261</v>
      </c>
      <c r="L328" s="7" t="s">
        <v>553</v>
      </c>
      <c r="M328" s="7" t="s">
        <v>263</v>
      </c>
      <c r="N328" s="7" t="s">
        <v>260</v>
      </c>
      <c r="O328" s="7"/>
      <c r="P328" s="37"/>
      <c r="Q328" s="7"/>
    </row>
    <row r="329">
      <c r="A329" s="7">
        <v>324.0</v>
      </c>
      <c r="B329" s="7" t="s">
        <v>265</v>
      </c>
      <c r="C329" s="7" t="str">
        <f>IFERROR(__xludf.DUMMYFUNCTION("GOOGLETRANSLATE($B329, $A$2, $B$2)"),"More than 30 days ago")</f>
        <v>More than 30 days ago</v>
      </c>
      <c r="D329" s="7" t="s">
        <v>1047</v>
      </c>
      <c r="E329" s="7" t="s">
        <v>258</v>
      </c>
      <c r="F329" s="7" t="s">
        <v>1048</v>
      </c>
      <c r="G329" s="7" t="s">
        <v>260</v>
      </c>
      <c r="H329" s="7" t="s">
        <v>261</v>
      </c>
      <c r="I329" s="7" t="s">
        <v>261</v>
      </c>
      <c r="J329" s="7" t="str">
        <f>IFERROR(__xludf.DUMMYFUNCTION("GOOGLETRANSLATE($I329, ""de"", ""en"")"),"NO SALARY DATA")</f>
        <v>NO SALARY DATA</v>
      </c>
      <c r="K329" s="7" t="s">
        <v>261</v>
      </c>
      <c r="L329" s="7" t="s">
        <v>1049</v>
      </c>
      <c r="M329" s="7" t="s">
        <v>263</v>
      </c>
      <c r="N329" s="7" t="s">
        <v>260</v>
      </c>
      <c r="O329" s="7"/>
      <c r="P329" s="37"/>
      <c r="Q329" s="7"/>
    </row>
    <row r="330">
      <c r="A330" s="7">
        <v>325.0</v>
      </c>
      <c r="B330" s="7" t="s">
        <v>705</v>
      </c>
      <c r="C330" s="7" t="str">
        <f>IFERROR(__xludf.DUMMYFUNCTION("GOOGLETRANSLATE($B330, $A$2, $B$2)"),"9 days ago")</f>
        <v>9 days ago</v>
      </c>
      <c r="D330" s="7" t="s">
        <v>1050</v>
      </c>
      <c r="E330" s="7" t="s">
        <v>1051</v>
      </c>
      <c r="F330" s="7" t="s">
        <v>1052</v>
      </c>
      <c r="G330" s="7" t="s">
        <v>260</v>
      </c>
      <c r="H330" s="7" t="s">
        <v>261</v>
      </c>
      <c r="I330" s="7" t="s">
        <v>261</v>
      </c>
      <c r="J330" s="7" t="str">
        <f>IFERROR(__xludf.DUMMYFUNCTION("GOOGLETRANSLATE($I330, ""de"", ""en"")"),"NO SALARY DATA")</f>
        <v>NO SALARY DATA</v>
      </c>
      <c r="K330" s="7" t="s">
        <v>261</v>
      </c>
      <c r="L330" s="7" t="s">
        <v>1053</v>
      </c>
      <c r="M330" s="7" t="s">
        <v>263</v>
      </c>
      <c r="N330" s="7" t="s">
        <v>260</v>
      </c>
      <c r="O330" s="7"/>
      <c r="P330" s="37"/>
      <c r="Q330" s="7"/>
    </row>
    <row r="331">
      <c r="A331" s="7">
        <v>326.0</v>
      </c>
      <c r="B331" s="7" t="s">
        <v>346</v>
      </c>
      <c r="C331" s="7" t="str">
        <f>IFERROR(__xludf.DUMMYFUNCTION("GOOGLETRANSLATE($B331, $A$2, $B$2)"),"12 days ago")</f>
        <v>12 days ago</v>
      </c>
      <c r="D331" s="7" t="s">
        <v>1054</v>
      </c>
      <c r="E331" s="7" t="s">
        <v>271</v>
      </c>
      <c r="F331" s="7" t="s">
        <v>750</v>
      </c>
      <c r="G331" s="7" t="s">
        <v>260</v>
      </c>
      <c r="H331" s="7" t="s">
        <v>261</v>
      </c>
      <c r="I331" s="7" t="s">
        <v>261</v>
      </c>
      <c r="J331" s="7" t="str">
        <f>IFERROR(__xludf.DUMMYFUNCTION("GOOGLETRANSLATE($I331, ""de"", ""en"")"),"NO SALARY DATA")</f>
        <v>NO SALARY DATA</v>
      </c>
      <c r="K331" s="7" t="s">
        <v>261</v>
      </c>
      <c r="L331" s="7" t="s">
        <v>398</v>
      </c>
      <c r="M331" s="7" t="s">
        <v>263</v>
      </c>
      <c r="N331" s="7" t="s">
        <v>260</v>
      </c>
      <c r="O331" s="7"/>
      <c r="P331" s="37"/>
      <c r="Q331" s="7"/>
    </row>
    <row r="332">
      <c r="A332" s="7">
        <v>327.0</v>
      </c>
      <c r="B332" s="7" t="s">
        <v>265</v>
      </c>
      <c r="C332" s="7" t="str">
        <f>IFERROR(__xludf.DUMMYFUNCTION("GOOGLETRANSLATE($B332, $A$2, $B$2)"),"More than 30 days ago")</f>
        <v>More than 30 days ago</v>
      </c>
      <c r="D332" s="7" t="s">
        <v>306</v>
      </c>
      <c r="E332" s="7" t="s">
        <v>352</v>
      </c>
      <c r="F332" s="7" t="s">
        <v>1055</v>
      </c>
      <c r="G332" s="7" t="s">
        <v>260</v>
      </c>
      <c r="H332" s="7" t="s">
        <v>261</v>
      </c>
      <c r="I332" s="7" t="s">
        <v>261</v>
      </c>
      <c r="J332" s="7" t="str">
        <f>IFERROR(__xludf.DUMMYFUNCTION("GOOGLETRANSLATE($I332, ""de"", ""en"")"),"NO SALARY DATA")</f>
        <v>NO SALARY DATA</v>
      </c>
      <c r="K332" s="7" t="s">
        <v>261</v>
      </c>
      <c r="L332" s="7" t="s">
        <v>490</v>
      </c>
      <c r="M332" s="7" t="s">
        <v>263</v>
      </c>
      <c r="N332" s="7" t="s">
        <v>260</v>
      </c>
      <c r="O332" s="7"/>
      <c r="P332" s="37"/>
      <c r="Q332" s="7"/>
    </row>
    <row r="333">
      <c r="A333" s="7">
        <v>328.0</v>
      </c>
      <c r="B333" s="7" t="s">
        <v>265</v>
      </c>
      <c r="C333" s="7" t="str">
        <f>IFERROR(__xludf.DUMMYFUNCTION("GOOGLETRANSLATE($B333, $A$2, $B$2)"),"More than 30 days ago")</f>
        <v>More than 30 days ago</v>
      </c>
      <c r="D333" s="7" t="s">
        <v>685</v>
      </c>
      <c r="E333" s="7" t="s">
        <v>1056</v>
      </c>
      <c r="F333" s="7" t="s">
        <v>1057</v>
      </c>
      <c r="G333" s="7" t="s">
        <v>260</v>
      </c>
      <c r="H333" s="7" t="s">
        <v>261</v>
      </c>
      <c r="I333" s="7" t="s">
        <v>261</v>
      </c>
      <c r="J333" s="7" t="str">
        <f>IFERROR(__xludf.DUMMYFUNCTION("GOOGLETRANSLATE($I333, ""de"", ""en"")"),"NO SALARY DATA")</f>
        <v>NO SALARY DATA</v>
      </c>
      <c r="K333" s="7" t="s">
        <v>261</v>
      </c>
      <c r="L333" s="7" t="s">
        <v>1058</v>
      </c>
      <c r="M333" s="7" t="s">
        <v>263</v>
      </c>
      <c r="N333" s="7" t="s">
        <v>260</v>
      </c>
      <c r="O333" s="7"/>
      <c r="P333" s="35"/>
      <c r="Q333" s="7"/>
    </row>
    <row r="334">
      <c r="A334" s="7">
        <v>329.0</v>
      </c>
      <c r="B334" s="7" t="s">
        <v>265</v>
      </c>
      <c r="C334" s="7" t="str">
        <f>IFERROR(__xludf.DUMMYFUNCTION("GOOGLETRANSLATE($B334, $A$2, $B$2)"),"More than 30 days ago")</f>
        <v>More than 30 days ago</v>
      </c>
      <c r="D334" s="7" t="s">
        <v>1059</v>
      </c>
      <c r="E334" s="7" t="s">
        <v>408</v>
      </c>
      <c r="F334" s="7" t="s">
        <v>1060</v>
      </c>
      <c r="G334" s="7" t="s">
        <v>260</v>
      </c>
      <c r="H334" s="7" t="s">
        <v>261</v>
      </c>
      <c r="I334" s="7" t="s">
        <v>261</v>
      </c>
      <c r="J334" s="7" t="str">
        <f>IFERROR(__xludf.DUMMYFUNCTION("GOOGLETRANSLATE($I334, ""de"", ""en"")"),"NO SALARY DATA")</f>
        <v>NO SALARY DATA</v>
      </c>
      <c r="K334" s="7" t="s">
        <v>261</v>
      </c>
      <c r="L334" s="7" t="s">
        <v>991</v>
      </c>
      <c r="M334" s="7" t="s">
        <v>263</v>
      </c>
      <c r="N334" s="7" t="s">
        <v>336</v>
      </c>
      <c r="O334" s="7"/>
      <c r="P334" s="37"/>
      <c r="Q334" s="7"/>
    </row>
    <row r="335">
      <c r="A335" s="7">
        <v>330.0</v>
      </c>
      <c r="B335" s="7" t="s">
        <v>265</v>
      </c>
      <c r="C335" s="7" t="str">
        <f>IFERROR(__xludf.DUMMYFUNCTION("GOOGLETRANSLATE($B335, $A$2, $B$2)"),"More than 30 days ago")</f>
        <v>More than 30 days ago</v>
      </c>
      <c r="D335" s="7" t="s">
        <v>1061</v>
      </c>
      <c r="E335" s="7" t="s">
        <v>271</v>
      </c>
      <c r="F335" s="7" t="s">
        <v>1062</v>
      </c>
      <c r="G335" s="7" t="s">
        <v>260</v>
      </c>
      <c r="H335" s="7" t="s">
        <v>261</v>
      </c>
      <c r="I335" s="7" t="s">
        <v>261</v>
      </c>
      <c r="J335" s="7" t="str">
        <f>IFERROR(__xludf.DUMMYFUNCTION("GOOGLETRANSLATE($I335, ""de"", ""en"")"),"NO SALARY DATA")</f>
        <v>NO SALARY DATA</v>
      </c>
      <c r="K335" s="7" t="s">
        <v>261</v>
      </c>
      <c r="L335" s="7" t="s">
        <v>451</v>
      </c>
      <c r="M335" s="7" t="s">
        <v>274</v>
      </c>
      <c r="N335" s="7" t="s">
        <v>260</v>
      </c>
      <c r="O335" s="7"/>
      <c r="P335" s="37"/>
      <c r="Q335" s="7"/>
    </row>
    <row r="336">
      <c r="A336" s="7">
        <v>331.0</v>
      </c>
      <c r="B336" s="7" t="s">
        <v>302</v>
      </c>
      <c r="C336" s="7" t="str">
        <f>IFERROR(__xludf.DUMMYFUNCTION("GOOGLETRANSLATE($B336, $A$2, $B$2)"),"today")</f>
        <v>today</v>
      </c>
      <c r="D336" s="7" t="s">
        <v>734</v>
      </c>
      <c r="E336" s="7" t="s">
        <v>735</v>
      </c>
      <c r="F336" s="7" t="s">
        <v>736</v>
      </c>
      <c r="G336" s="7" t="s">
        <v>260</v>
      </c>
      <c r="H336" s="7" t="s">
        <v>261</v>
      </c>
      <c r="I336" s="7" t="s">
        <v>261</v>
      </c>
      <c r="J336" s="7" t="str">
        <f>IFERROR(__xludf.DUMMYFUNCTION("GOOGLETRANSLATE($I336, ""de"", ""en"")"),"NO SALARY DATA")</f>
        <v>NO SALARY DATA</v>
      </c>
      <c r="K336" s="7" t="s">
        <v>261</v>
      </c>
      <c r="L336" s="7" t="s">
        <v>374</v>
      </c>
      <c r="M336" s="7" t="s">
        <v>263</v>
      </c>
      <c r="N336" s="7" t="s">
        <v>260</v>
      </c>
      <c r="O336" s="7"/>
      <c r="P336" s="35"/>
      <c r="Q336" s="7"/>
    </row>
    <row r="337">
      <c r="A337" s="7">
        <v>332.0</v>
      </c>
      <c r="B337" s="7" t="s">
        <v>265</v>
      </c>
      <c r="C337" s="7" t="str">
        <f>IFERROR(__xludf.DUMMYFUNCTION("GOOGLETRANSLATE($B337, $A$2, $B$2)"),"More than 30 days ago")</f>
        <v>More than 30 days ago</v>
      </c>
      <c r="D337" s="7" t="s">
        <v>1063</v>
      </c>
      <c r="E337" s="7" t="s">
        <v>258</v>
      </c>
      <c r="F337" s="7" t="s">
        <v>607</v>
      </c>
      <c r="G337" s="7" t="s">
        <v>260</v>
      </c>
      <c r="H337" s="7" t="s">
        <v>261</v>
      </c>
      <c r="I337" s="7" t="s">
        <v>261</v>
      </c>
      <c r="J337" s="7" t="str">
        <f>IFERROR(__xludf.DUMMYFUNCTION("GOOGLETRANSLATE($I337, ""de"", ""en"")"),"NO SALARY DATA")</f>
        <v>NO SALARY DATA</v>
      </c>
      <c r="K337" s="7" t="s">
        <v>261</v>
      </c>
      <c r="L337" s="7" t="s">
        <v>806</v>
      </c>
      <c r="M337" s="7" t="s">
        <v>452</v>
      </c>
      <c r="N337" s="7" t="s">
        <v>399</v>
      </c>
      <c r="O337" s="7"/>
      <c r="P337" s="35"/>
      <c r="Q337" s="7"/>
    </row>
    <row r="338">
      <c r="A338" s="7">
        <v>333.0</v>
      </c>
      <c r="B338" s="7" t="s">
        <v>395</v>
      </c>
      <c r="C338" s="7" t="str">
        <f>IFERROR(__xludf.DUMMYFUNCTION("GOOGLETRANSLATE($B338, $A$2, $B$2)"),"21 days ago")</f>
        <v>21 days ago</v>
      </c>
      <c r="D338" s="7" t="s">
        <v>1064</v>
      </c>
      <c r="E338" s="7" t="s">
        <v>271</v>
      </c>
      <c r="F338" s="7" t="s">
        <v>397</v>
      </c>
      <c r="G338" s="7" t="s">
        <v>260</v>
      </c>
      <c r="H338" s="7" t="s">
        <v>261</v>
      </c>
      <c r="I338" s="7" t="s">
        <v>261</v>
      </c>
      <c r="J338" s="7" t="str">
        <f>IFERROR(__xludf.DUMMYFUNCTION("GOOGLETRANSLATE($I338, ""de"", ""en"")"),"NO SALARY DATA")</f>
        <v>NO SALARY DATA</v>
      </c>
      <c r="K338" s="7" t="s">
        <v>261</v>
      </c>
      <c r="L338" s="7" t="s">
        <v>1065</v>
      </c>
      <c r="M338" s="7" t="s">
        <v>673</v>
      </c>
      <c r="N338" s="7" t="s">
        <v>399</v>
      </c>
      <c r="O338" s="7"/>
      <c r="P338" s="37"/>
      <c r="Q338" s="7"/>
    </row>
    <row r="339">
      <c r="A339" s="7">
        <v>334.0</v>
      </c>
      <c r="B339" s="7" t="s">
        <v>265</v>
      </c>
      <c r="C339" s="7" t="str">
        <f>IFERROR(__xludf.DUMMYFUNCTION("GOOGLETRANSLATE($B339, $A$2, $B$2)"),"More than 30 days ago")</f>
        <v>More than 30 days ago</v>
      </c>
      <c r="D339" s="7" t="s">
        <v>1066</v>
      </c>
      <c r="E339" s="7" t="s">
        <v>348</v>
      </c>
      <c r="F339" s="7" t="s">
        <v>1067</v>
      </c>
      <c r="G339" s="7" t="s">
        <v>260</v>
      </c>
      <c r="H339" s="7" t="s">
        <v>261</v>
      </c>
      <c r="I339" s="7" t="s">
        <v>261</v>
      </c>
      <c r="J339" s="7" t="str">
        <f>IFERROR(__xludf.DUMMYFUNCTION("GOOGLETRANSLATE($I339, ""de"", ""en"")"),"NO SALARY DATA")</f>
        <v>NO SALARY DATA</v>
      </c>
      <c r="K339" s="7" t="s">
        <v>261</v>
      </c>
      <c r="L339" s="7" t="s">
        <v>777</v>
      </c>
      <c r="M339" s="7" t="s">
        <v>263</v>
      </c>
      <c r="N339" s="7" t="s">
        <v>260</v>
      </c>
      <c r="O339" s="7"/>
      <c r="P339" s="37"/>
      <c r="Q339" s="7"/>
    </row>
    <row r="340">
      <c r="A340" s="7">
        <v>335.0</v>
      </c>
      <c r="B340" s="7" t="s">
        <v>332</v>
      </c>
      <c r="C340" s="7" t="str">
        <f>IFERROR(__xludf.DUMMYFUNCTION("GOOGLETRANSLATE($B340, $A$2, $B$2)"),"4 days ago")</f>
        <v>4 days ago</v>
      </c>
      <c r="D340" s="7" t="s">
        <v>306</v>
      </c>
      <c r="E340" s="7" t="s">
        <v>280</v>
      </c>
      <c r="F340" s="7" t="s">
        <v>409</v>
      </c>
      <c r="G340" s="7" t="s">
        <v>260</v>
      </c>
      <c r="H340" s="7" t="s">
        <v>261</v>
      </c>
      <c r="I340" s="7" t="s">
        <v>261</v>
      </c>
      <c r="J340" s="7" t="str">
        <f>IFERROR(__xludf.DUMMYFUNCTION("GOOGLETRANSLATE($I340, ""de"", ""en"")"),"NO SALARY DATA")</f>
        <v>NO SALARY DATA</v>
      </c>
      <c r="K340" s="7" t="s">
        <v>261</v>
      </c>
      <c r="L340" s="7" t="s">
        <v>318</v>
      </c>
      <c r="M340" s="7" t="s">
        <v>263</v>
      </c>
      <c r="N340" s="7" t="s">
        <v>260</v>
      </c>
      <c r="O340" s="7"/>
      <c r="P340" s="35"/>
      <c r="Q340" s="7"/>
    </row>
    <row r="341">
      <c r="A341" s="7">
        <v>336.0</v>
      </c>
      <c r="B341" s="7" t="s">
        <v>265</v>
      </c>
      <c r="C341" s="7" t="str">
        <f>IFERROR(__xludf.DUMMYFUNCTION("GOOGLETRANSLATE($B341, $A$2, $B$2)"),"More than 30 days ago")</f>
        <v>More than 30 days ago</v>
      </c>
      <c r="D341" s="7" t="s">
        <v>1068</v>
      </c>
      <c r="E341" s="7" t="s">
        <v>1069</v>
      </c>
      <c r="F341" s="7" t="s">
        <v>787</v>
      </c>
      <c r="G341" s="7" t="s">
        <v>260</v>
      </c>
      <c r="H341" s="7" t="s">
        <v>261</v>
      </c>
      <c r="I341" s="7" t="s">
        <v>261</v>
      </c>
      <c r="J341" s="7" t="str">
        <f>IFERROR(__xludf.DUMMYFUNCTION("GOOGLETRANSLATE($I341, ""de"", ""en"")"),"NO SALARY DATA")</f>
        <v>NO SALARY DATA</v>
      </c>
      <c r="K341" s="7" t="s">
        <v>261</v>
      </c>
      <c r="L341" s="7" t="s">
        <v>562</v>
      </c>
      <c r="M341" s="7" t="s">
        <v>263</v>
      </c>
      <c r="N341" s="7" t="s">
        <v>788</v>
      </c>
      <c r="O341" s="7"/>
      <c r="P341" s="35"/>
      <c r="Q341" s="7"/>
    </row>
    <row r="342">
      <c r="A342" s="7">
        <v>337.0</v>
      </c>
      <c r="B342" s="7" t="s">
        <v>559</v>
      </c>
      <c r="C342" s="7" t="str">
        <f>IFERROR(__xludf.DUMMYFUNCTION("GOOGLETRANSLATE($B342, $A$2, $B$2)"),"18 days ago")</f>
        <v>18 days ago</v>
      </c>
      <c r="D342" s="7" t="s">
        <v>1070</v>
      </c>
      <c r="E342" s="7" t="s">
        <v>629</v>
      </c>
      <c r="F342" s="7" t="s">
        <v>1071</v>
      </c>
      <c r="G342" s="7" t="s">
        <v>260</v>
      </c>
      <c r="H342" s="7" t="s">
        <v>261</v>
      </c>
      <c r="I342" s="7" t="s">
        <v>261</v>
      </c>
      <c r="J342" s="7" t="str">
        <f>IFERROR(__xludf.DUMMYFUNCTION("GOOGLETRANSLATE($I342, ""de"", ""en"")"),"NO SALARY DATA")</f>
        <v>NO SALARY DATA</v>
      </c>
      <c r="K342" s="7" t="s">
        <v>261</v>
      </c>
      <c r="L342" s="7" t="s">
        <v>312</v>
      </c>
      <c r="M342" s="7" t="s">
        <v>263</v>
      </c>
      <c r="N342" s="7" t="s">
        <v>532</v>
      </c>
      <c r="O342" s="7"/>
      <c r="P342" s="37"/>
      <c r="Q342" s="7"/>
    </row>
    <row r="343">
      <c r="A343" s="7">
        <v>338.0</v>
      </c>
      <c r="B343" s="7" t="s">
        <v>324</v>
      </c>
      <c r="C343" s="7" t="str">
        <f>IFERROR(__xludf.DUMMYFUNCTION("GOOGLETRANSLATE($B343, $A$2, $B$2)"),"3 days ago")</f>
        <v>3 days ago</v>
      </c>
      <c r="D343" s="7" t="s">
        <v>1072</v>
      </c>
      <c r="E343" s="7" t="s">
        <v>280</v>
      </c>
      <c r="F343" s="7" t="s">
        <v>1073</v>
      </c>
      <c r="G343" s="7" t="s">
        <v>260</v>
      </c>
      <c r="H343" s="7" t="s">
        <v>261</v>
      </c>
      <c r="I343" s="7" t="s">
        <v>261</v>
      </c>
      <c r="J343" s="7" t="str">
        <f>IFERROR(__xludf.DUMMYFUNCTION("GOOGLETRANSLATE($I343, ""de"", ""en"")"),"NO SALARY DATA")</f>
        <v>NO SALARY DATA</v>
      </c>
      <c r="K343" s="7" t="s">
        <v>261</v>
      </c>
      <c r="L343" s="7" t="s">
        <v>1074</v>
      </c>
      <c r="M343" s="7" t="s">
        <v>263</v>
      </c>
      <c r="N343" s="7" t="s">
        <v>260</v>
      </c>
      <c r="O343" s="7"/>
      <c r="P343" s="35"/>
      <c r="Q343" s="7"/>
    </row>
    <row r="344">
      <c r="A344" s="7">
        <v>339.0</v>
      </c>
      <c r="B344" s="7" t="s">
        <v>265</v>
      </c>
      <c r="C344" s="7" t="str">
        <f>IFERROR(__xludf.DUMMYFUNCTION("GOOGLETRANSLATE($B344, $A$2, $B$2)"),"More than 30 days ago")</f>
        <v>More than 30 days ago</v>
      </c>
      <c r="D344" s="7" t="s">
        <v>995</v>
      </c>
      <c r="E344" s="7" t="s">
        <v>258</v>
      </c>
      <c r="F344" s="7" t="s">
        <v>799</v>
      </c>
      <c r="G344" s="7" t="s">
        <v>260</v>
      </c>
      <c r="H344" s="7" t="s">
        <v>261</v>
      </c>
      <c r="I344" s="7" t="s">
        <v>261</v>
      </c>
      <c r="J344" s="7" t="str">
        <f>IFERROR(__xludf.DUMMYFUNCTION("GOOGLETRANSLATE($I344, ""de"", ""en"")"),"NO SALARY DATA")</f>
        <v>NO SALARY DATA</v>
      </c>
      <c r="K344" s="7" t="s">
        <v>261</v>
      </c>
      <c r="L344" s="7" t="s">
        <v>996</v>
      </c>
      <c r="M344" s="7" t="s">
        <v>263</v>
      </c>
      <c r="N344" s="7" t="s">
        <v>486</v>
      </c>
      <c r="O344" s="7"/>
      <c r="P344" s="37"/>
      <c r="Q344" s="7"/>
    </row>
    <row r="345">
      <c r="A345" s="7">
        <v>340.0</v>
      </c>
      <c r="B345" s="7" t="s">
        <v>371</v>
      </c>
      <c r="C345" s="7" t="str">
        <f>IFERROR(__xludf.DUMMYFUNCTION("GOOGLETRANSLATE($B345, $A$2, $B$2)"),"Straight")</f>
        <v>Straight</v>
      </c>
      <c r="D345" s="7" t="s">
        <v>1075</v>
      </c>
      <c r="E345" s="7" t="s">
        <v>348</v>
      </c>
      <c r="F345" s="7" t="s">
        <v>1076</v>
      </c>
      <c r="G345" s="7" t="s">
        <v>260</v>
      </c>
      <c r="H345" s="7" t="s">
        <v>261</v>
      </c>
      <c r="I345" s="7" t="s">
        <v>261</v>
      </c>
      <c r="J345" s="7" t="str">
        <f>IFERROR(__xludf.DUMMYFUNCTION("GOOGLETRANSLATE($I345, ""de"", ""en"")"),"NO SALARY DATA")</f>
        <v>NO SALARY DATA</v>
      </c>
      <c r="K345" s="7" t="s">
        <v>261</v>
      </c>
      <c r="L345" s="7" t="s">
        <v>1077</v>
      </c>
      <c r="M345" s="7" t="s">
        <v>322</v>
      </c>
      <c r="N345" s="7" t="s">
        <v>260</v>
      </c>
      <c r="O345" s="7"/>
      <c r="P345" s="37"/>
      <c r="Q345" s="7"/>
    </row>
    <row r="346">
      <c r="A346" s="7">
        <v>341.0</v>
      </c>
      <c r="B346" s="7" t="s">
        <v>265</v>
      </c>
      <c r="C346" s="7" t="str">
        <f>IFERROR(__xludf.DUMMYFUNCTION("GOOGLETRANSLATE($B346, $A$2, $B$2)"),"More than 30 days ago")</f>
        <v>More than 30 days ago</v>
      </c>
      <c r="D346" s="7" t="s">
        <v>706</v>
      </c>
      <c r="E346" s="7" t="s">
        <v>372</v>
      </c>
      <c r="F346" s="7" t="s">
        <v>1078</v>
      </c>
      <c r="G346" s="7" t="s">
        <v>260</v>
      </c>
      <c r="H346" s="7" t="s">
        <v>261</v>
      </c>
      <c r="I346" s="7" t="s">
        <v>261</v>
      </c>
      <c r="J346" s="7" t="str">
        <f>IFERROR(__xludf.DUMMYFUNCTION("GOOGLETRANSLATE($I346, ""de"", ""en"")"),"NO SALARY DATA")</f>
        <v>NO SALARY DATA</v>
      </c>
      <c r="K346" s="7" t="s">
        <v>261</v>
      </c>
      <c r="L346" s="7" t="s">
        <v>756</v>
      </c>
      <c r="M346" s="7" t="s">
        <v>263</v>
      </c>
      <c r="N346" s="7" t="s">
        <v>260</v>
      </c>
      <c r="O346" s="7"/>
      <c r="P346" s="35"/>
      <c r="Q346" s="7"/>
    </row>
    <row r="347">
      <c r="A347" s="7">
        <v>342.0</v>
      </c>
      <c r="B347" s="7" t="s">
        <v>265</v>
      </c>
      <c r="C347" s="7" t="str">
        <f>IFERROR(__xludf.DUMMYFUNCTION("GOOGLETRANSLATE($B347, $A$2, $B$2)"),"More than 30 days ago")</f>
        <v>More than 30 days ago</v>
      </c>
      <c r="D347" s="7" t="s">
        <v>1079</v>
      </c>
      <c r="E347" s="7" t="s">
        <v>348</v>
      </c>
      <c r="F347" s="7" t="s">
        <v>471</v>
      </c>
      <c r="G347" s="7" t="s">
        <v>260</v>
      </c>
      <c r="H347" s="7" t="s">
        <v>261</v>
      </c>
      <c r="I347" s="7" t="s">
        <v>261</v>
      </c>
      <c r="J347" s="7" t="str">
        <f>IFERROR(__xludf.DUMMYFUNCTION("GOOGLETRANSLATE($I347, ""de"", ""en"")"),"NO SALARY DATA")</f>
        <v>NO SALARY DATA</v>
      </c>
      <c r="K347" s="7" t="s">
        <v>261</v>
      </c>
      <c r="L347" s="7" t="s">
        <v>1080</v>
      </c>
      <c r="M347" s="7" t="s">
        <v>263</v>
      </c>
      <c r="N347" s="7" t="s">
        <v>473</v>
      </c>
      <c r="O347" s="7"/>
      <c r="P347" s="37"/>
      <c r="Q347" s="7"/>
    </row>
    <row r="348">
      <c r="A348" s="7">
        <v>343.0</v>
      </c>
      <c r="B348" s="7" t="s">
        <v>346</v>
      </c>
      <c r="C348" s="7" t="str">
        <f>IFERROR(__xludf.DUMMYFUNCTION("GOOGLETRANSLATE($B348, $A$2, $B$2)"),"12 days ago")</f>
        <v>12 days ago</v>
      </c>
      <c r="D348" s="7" t="s">
        <v>1081</v>
      </c>
      <c r="E348" s="7" t="s">
        <v>258</v>
      </c>
      <c r="F348" s="7" t="s">
        <v>1082</v>
      </c>
      <c r="G348" s="7" t="s">
        <v>260</v>
      </c>
      <c r="H348" s="7" t="s">
        <v>261</v>
      </c>
      <c r="I348" s="7" t="s">
        <v>261</v>
      </c>
      <c r="J348" s="7" t="str">
        <f>IFERROR(__xludf.DUMMYFUNCTION("GOOGLETRANSLATE($I348, ""de"", ""en"")"),"NO SALARY DATA")</f>
        <v>NO SALARY DATA</v>
      </c>
      <c r="K348" s="7" t="s">
        <v>261</v>
      </c>
      <c r="L348" s="7" t="s">
        <v>527</v>
      </c>
      <c r="M348" s="7" t="s">
        <v>263</v>
      </c>
      <c r="N348" s="7" t="s">
        <v>260</v>
      </c>
      <c r="O348" s="7"/>
      <c r="P348" s="35"/>
      <c r="Q348" s="7"/>
    </row>
    <row r="349">
      <c r="A349" s="7">
        <v>344.0</v>
      </c>
      <c r="B349" s="7" t="s">
        <v>265</v>
      </c>
      <c r="C349" s="7" t="str">
        <f>IFERROR(__xludf.DUMMYFUNCTION("GOOGLETRANSLATE($B349, $A$2, $B$2)"),"More than 30 days ago")</f>
        <v>More than 30 days ago</v>
      </c>
      <c r="D349" s="7" t="s">
        <v>1083</v>
      </c>
      <c r="E349" s="7" t="s">
        <v>1084</v>
      </c>
      <c r="F349" s="7" t="s">
        <v>607</v>
      </c>
      <c r="G349" s="7" t="s">
        <v>260</v>
      </c>
      <c r="H349" s="7" t="s">
        <v>261</v>
      </c>
      <c r="I349" s="7" t="s">
        <v>261</v>
      </c>
      <c r="J349" s="7" t="str">
        <f>IFERROR(__xludf.DUMMYFUNCTION("GOOGLETRANSLATE($I349, ""de"", ""en"")"),"NO SALARY DATA")</f>
        <v>NO SALARY DATA</v>
      </c>
      <c r="K349" s="7" t="s">
        <v>261</v>
      </c>
      <c r="L349" s="7" t="s">
        <v>389</v>
      </c>
      <c r="M349" s="7" t="s">
        <v>263</v>
      </c>
      <c r="N349" s="7" t="s">
        <v>399</v>
      </c>
      <c r="O349" s="7"/>
      <c r="P349" s="37"/>
      <c r="Q349" s="7"/>
    </row>
    <row r="350">
      <c r="A350" s="7">
        <v>345.0</v>
      </c>
      <c r="B350" s="7" t="s">
        <v>265</v>
      </c>
      <c r="C350" s="7" t="str">
        <f>IFERROR(__xludf.DUMMYFUNCTION("GOOGLETRANSLATE($B350, $A$2, $B$2)"),"More than 30 days ago")</f>
        <v>More than 30 days ago</v>
      </c>
      <c r="D350" s="7" t="s">
        <v>774</v>
      </c>
      <c r="E350" s="7" t="s">
        <v>439</v>
      </c>
      <c r="F350" s="7" t="s">
        <v>776</v>
      </c>
      <c r="G350" s="7" t="s">
        <v>260</v>
      </c>
      <c r="H350" s="7" t="s">
        <v>261</v>
      </c>
      <c r="I350" s="7" t="s">
        <v>261</v>
      </c>
      <c r="J350" s="7" t="str">
        <f>IFERROR(__xludf.DUMMYFUNCTION("GOOGLETRANSLATE($I350, ""de"", ""en"")"),"NO SALARY DATA")</f>
        <v>NO SALARY DATA</v>
      </c>
      <c r="K350" s="7" t="s">
        <v>261</v>
      </c>
      <c r="L350" s="7" t="s">
        <v>777</v>
      </c>
      <c r="M350" s="7" t="s">
        <v>263</v>
      </c>
      <c r="N350" s="7" t="s">
        <v>260</v>
      </c>
      <c r="O350" s="7"/>
      <c r="P350" s="35"/>
      <c r="Q350" s="7"/>
    </row>
    <row r="351">
      <c r="A351" s="7">
        <v>346.0</v>
      </c>
      <c r="B351" s="7" t="s">
        <v>265</v>
      </c>
      <c r="C351" s="7" t="str">
        <f>IFERROR(__xludf.DUMMYFUNCTION("GOOGLETRANSLATE($B351, $A$2, $B$2)"),"More than 30 days ago")</f>
        <v>More than 30 days ago</v>
      </c>
      <c r="D351" s="7" t="s">
        <v>1026</v>
      </c>
      <c r="E351" s="7" t="s">
        <v>343</v>
      </c>
      <c r="F351" s="7" t="s">
        <v>506</v>
      </c>
      <c r="G351" s="7" t="s">
        <v>260</v>
      </c>
      <c r="H351" s="7" t="s">
        <v>261</v>
      </c>
      <c r="I351" s="7" t="s">
        <v>261</v>
      </c>
      <c r="J351" s="7" t="str">
        <f>IFERROR(__xludf.DUMMYFUNCTION("GOOGLETRANSLATE($I351, ""de"", ""en"")"),"NO SALARY DATA")</f>
        <v>NO SALARY DATA</v>
      </c>
      <c r="K351" s="7" t="s">
        <v>261</v>
      </c>
      <c r="L351" s="7" t="s">
        <v>312</v>
      </c>
      <c r="M351" s="7" t="s">
        <v>263</v>
      </c>
      <c r="N351" s="7" t="s">
        <v>507</v>
      </c>
      <c r="O351" s="7"/>
      <c r="P351" s="37"/>
      <c r="Q351" s="7"/>
    </row>
    <row r="352">
      <c r="A352" s="7">
        <v>347.0</v>
      </c>
      <c r="B352" s="7" t="s">
        <v>341</v>
      </c>
      <c r="C352" s="7" t="str">
        <f>IFERROR(__xludf.DUMMYFUNCTION("GOOGLETRANSLATE($B352, $A$2, $B$2)"),"before 14 days")</f>
        <v>before 14 days</v>
      </c>
      <c r="D352" s="7" t="s">
        <v>1085</v>
      </c>
      <c r="E352" s="7" t="s">
        <v>280</v>
      </c>
      <c r="F352" s="7" t="s">
        <v>1086</v>
      </c>
      <c r="G352" s="7" t="s">
        <v>260</v>
      </c>
      <c r="H352" s="7" t="s">
        <v>261</v>
      </c>
      <c r="I352" s="7" t="s">
        <v>261</v>
      </c>
      <c r="J352" s="7" t="str">
        <f>IFERROR(__xludf.DUMMYFUNCTION("GOOGLETRANSLATE($I352, ""de"", ""en"")"),"NO SALARY DATA")</f>
        <v>NO SALARY DATA</v>
      </c>
      <c r="K352" s="7" t="s">
        <v>261</v>
      </c>
      <c r="L352" s="7" t="s">
        <v>1087</v>
      </c>
      <c r="M352" s="7" t="s">
        <v>263</v>
      </c>
      <c r="N352" s="7" t="s">
        <v>260</v>
      </c>
      <c r="O352" s="7"/>
      <c r="P352" s="37"/>
      <c r="Q352" s="7"/>
    </row>
    <row r="353">
      <c r="A353" s="7">
        <v>348.0</v>
      </c>
      <c r="B353" s="7" t="s">
        <v>637</v>
      </c>
      <c r="C353" s="7" t="str">
        <f>IFERROR(__xludf.DUMMYFUNCTION("GOOGLETRANSLATE($B353, $A$2, $B$2)"),"17 days ago")</f>
        <v>17 days ago</v>
      </c>
      <c r="D353" s="7" t="s">
        <v>1088</v>
      </c>
      <c r="E353" s="7" t="s">
        <v>258</v>
      </c>
      <c r="F353" s="7" t="s">
        <v>1089</v>
      </c>
      <c r="G353" s="7" t="s">
        <v>260</v>
      </c>
      <c r="H353" s="7" t="s">
        <v>261</v>
      </c>
      <c r="I353" s="7" t="s">
        <v>261</v>
      </c>
      <c r="J353" s="7" t="str">
        <f>IFERROR(__xludf.DUMMYFUNCTION("GOOGLETRANSLATE($I353, ""de"", ""en"")"),"NO SALARY DATA")</f>
        <v>NO SALARY DATA</v>
      </c>
      <c r="K353" s="7" t="s">
        <v>261</v>
      </c>
      <c r="L353" s="7" t="s">
        <v>524</v>
      </c>
      <c r="M353" s="7" t="s">
        <v>263</v>
      </c>
      <c r="N353" s="7" t="s">
        <v>260</v>
      </c>
      <c r="O353" s="7"/>
      <c r="P353" s="35"/>
      <c r="Q353" s="7"/>
    </row>
    <row r="354">
      <c r="A354" s="7">
        <v>349.0</v>
      </c>
      <c r="B354" s="7" t="s">
        <v>265</v>
      </c>
      <c r="C354" s="7" t="str">
        <f>IFERROR(__xludf.DUMMYFUNCTION("GOOGLETRANSLATE($B354, $A$2, $B$2)"),"More than 30 days ago")</f>
        <v>More than 30 days ago</v>
      </c>
      <c r="D354" s="7" t="s">
        <v>685</v>
      </c>
      <c r="E354" s="7" t="s">
        <v>280</v>
      </c>
      <c r="F354" s="7" t="s">
        <v>1090</v>
      </c>
      <c r="G354" s="7" t="s">
        <v>260</v>
      </c>
      <c r="H354" s="7" t="s">
        <v>261</v>
      </c>
      <c r="I354" s="7" t="s">
        <v>261</v>
      </c>
      <c r="J354" s="7" t="str">
        <f>IFERROR(__xludf.DUMMYFUNCTION("GOOGLETRANSLATE($I354, ""de"", ""en"")"),"NO SALARY DATA")</f>
        <v>NO SALARY DATA</v>
      </c>
      <c r="K354" s="7" t="s">
        <v>261</v>
      </c>
      <c r="L354" s="7" t="s">
        <v>441</v>
      </c>
      <c r="M354" s="7" t="s">
        <v>263</v>
      </c>
      <c r="N354" s="7" t="s">
        <v>611</v>
      </c>
      <c r="O354" s="7"/>
      <c r="P354" s="37"/>
      <c r="Q354" s="7"/>
    </row>
    <row r="355">
      <c r="A355" s="7">
        <v>350.0</v>
      </c>
      <c r="B355" s="7" t="s">
        <v>637</v>
      </c>
      <c r="C355" s="7" t="str">
        <f>IFERROR(__xludf.DUMMYFUNCTION("GOOGLETRANSLATE($B355, $A$2, $B$2)"),"17 days ago")</f>
        <v>17 days ago</v>
      </c>
      <c r="D355" s="7" t="s">
        <v>1091</v>
      </c>
      <c r="E355" s="7" t="s">
        <v>258</v>
      </c>
      <c r="F355" s="7" t="s">
        <v>1092</v>
      </c>
      <c r="G355" s="7" t="s">
        <v>260</v>
      </c>
      <c r="H355" s="7" t="s">
        <v>261</v>
      </c>
      <c r="I355" s="7" t="s">
        <v>261</v>
      </c>
      <c r="J355" s="7" t="str">
        <f>IFERROR(__xludf.DUMMYFUNCTION("GOOGLETRANSLATE($I355, ""de"", ""en"")"),"NO SALARY DATA")</f>
        <v>NO SALARY DATA</v>
      </c>
      <c r="K355" s="7" t="s">
        <v>261</v>
      </c>
      <c r="L355" s="7" t="s">
        <v>1093</v>
      </c>
      <c r="M355" s="7" t="s">
        <v>263</v>
      </c>
      <c r="N355" s="7" t="s">
        <v>260</v>
      </c>
      <c r="O355" s="7"/>
      <c r="P355" s="35"/>
      <c r="Q355" s="7"/>
    </row>
    <row r="356">
      <c r="A356" s="7">
        <v>351.0</v>
      </c>
      <c r="B356" s="7" t="s">
        <v>265</v>
      </c>
      <c r="C356" s="7" t="str">
        <f>IFERROR(__xludf.DUMMYFUNCTION("GOOGLETRANSLATE($B356, $A$2, $B$2)"),"More than 30 days ago")</f>
        <v>More than 30 days ago</v>
      </c>
      <c r="D356" s="7" t="s">
        <v>1094</v>
      </c>
      <c r="E356" s="7" t="s">
        <v>348</v>
      </c>
      <c r="F356" s="7" t="s">
        <v>1095</v>
      </c>
      <c r="G356" s="7" t="s">
        <v>260</v>
      </c>
      <c r="H356" s="7" t="s">
        <v>261</v>
      </c>
      <c r="I356" s="7" t="s">
        <v>261</v>
      </c>
      <c r="J356" s="7" t="str">
        <f>IFERROR(__xludf.DUMMYFUNCTION("GOOGLETRANSLATE($I356, ""de"", ""en"")"),"NO SALARY DATA")</f>
        <v>NO SALARY DATA</v>
      </c>
      <c r="K356" s="7" t="s">
        <v>261</v>
      </c>
      <c r="L356" s="7"/>
      <c r="M356" s="7" t="s">
        <v>263</v>
      </c>
      <c r="N356" s="7" t="s">
        <v>491</v>
      </c>
      <c r="O356" s="7"/>
      <c r="P356" s="37"/>
      <c r="Q356" s="7"/>
    </row>
    <row r="357">
      <c r="A357" s="7">
        <v>352.0</v>
      </c>
      <c r="B357" s="7" t="s">
        <v>621</v>
      </c>
      <c r="C357" s="7" t="str">
        <f>IFERROR(__xludf.DUMMYFUNCTION("GOOGLETRANSLATE($B357, $A$2, $B$2)"),"20 days ago")</f>
        <v>20 days ago</v>
      </c>
      <c r="D357" s="7" t="s">
        <v>1096</v>
      </c>
      <c r="E357" s="7" t="s">
        <v>372</v>
      </c>
      <c r="F357" s="7" t="s">
        <v>1097</v>
      </c>
      <c r="G357" s="7" t="s">
        <v>260</v>
      </c>
      <c r="H357" s="7" t="s">
        <v>261</v>
      </c>
      <c r="I357" s="7" t="s">
        <v>261</v>
      </c>
      <c r="J357" s="7" t="str">
        <f>IFERROR(__xludf.DUMMYFUNCTION("GOOGLETRANSLATE($I357, ""de"", ""en"")"),"NO SALARY DATA")</f>
        <v>NO SALARY DATA</v>
      </c>
      <c r="K357" s="7" t="s">
        <v>261</v>
      </c>
      <c r="L357" s="7" t="s">
        <v>1098</v>
      </c>
      <c r="M357" s="7" t="s">
        <v>263</v>
      </c>
      <c r="N357" s="7" t="s">
        <v>260</v>
      </c>
      <c r="O357" s="7"/>
      <c r="P357" s="37"/>
      <c r="Q357" s="7"/>
    </row>
    <row r="358">
      <c r="A358" s="7">
        <v>353.0</v>
      </c>
      <c r="B358" s="7" t="s">
        <v>379</v>
      </c>
      <c r="C358" s="7" t="str">
        <f>IFERROR(__xludf.DUMMYFUNCTION("GOOGLETRANSLATE($B358, $A$2, $B$2)"),"13 days ago")</f>
        <v>13 days ago</v>
      </c>
      <c r="D358" s="7" t="s">
        <v>706</v>
      </c>
      <c r="E358" s="7" t="s">
        <v>401</v>
      </c>
      <c r="F358" s="7" t="s">
        <v>1099</v>
      </c>
      <c r="G358" s="7" t="s">
        <v>260</v>
      </c>
      <c r="H358" s="7" t="s">
        <v>261</v>
      </c>
      <c r="I358" s="7" t="s">
        <v>261</v>
      </c>
      <c r="J358" s="7" t="str">
        <f>IFERROR(__xludf.DUMMYFUNCTION("GOOGLETRANSLATE($I358, ""de"", ""en"")"),"NO SALARY DATA")</f>
        <v>NO SALARY DATA</v>
      </c>
      <c r="K358" s="7" t="s">
        <v>261</v>
      </c>
      <c r="L358" s="7" t="s">
        <v>327</v>
      </c>
      <c r="M358" s="7" t="s">
        <v>263</v>
      </c>
      <c r="N358" s="7" t="s">
        <v>260</v>
      </c>
      <c r="O358" s="7"/>
      <c r="P358" s="35"/>
      <c r="Q358" s="7"/>
    </row>
    <row r="359">
      <c r="A359" s="7">
        <v>354.0</v>
      </c>
      <c r="B359" s="7" t="s">
        <v>265</v>
      </c>
      <c r="C359" s="7" t="str">
        <f>IFERROR(__xludf.DUMMYFUNCTION("GOOGLETRANSLATE($B359, $A$2, $B$2)"),"More than 30 days ago")</f>
        <v>More than 30 days ago</v>
      </c>
      <c r="D359" s="7" t="s">
        <v>306</v>
      </c>
      <c r="E359" s="7" t="s">
        <v>1100</v>
      </c>
      <c r="F359" s="7" t="s">
        <v>1101</v>
      </c>
      <c r="G359" s="7" t="s">
        <v>260</v>
      </c>
      <c r="H359" s="7" t="s">
        <v>261</v>
      </c>
      <c r="I359" s="7" t="s">
        <v>261</v>
      </c>
      <c r="J359" s="7" t="str">
        <f>IFERROR(__xludf.DUMMYFUNCTION("GOOGLETRANSLATE($I359, ""de"", ""en"")"),"NO SALARY DATA")</f>
        <v>NO SALARY DATA</v>
      </c>
      <c r="K359" s="7" t="s">
        <v>261</v>
      </c>
      <c r="L359" s="7" t="s">
        <v>318</v>
      </c>
      <c r="M359" s="7" t="s">
        <v>263</v>
      </c>
      <c r="N359" s="7" t="s">
        <v>420</v>
      </c>
      <c r="O359" s="7"/>
      <c r="P359" s="35"/>
      <c r="Q359" s="7"/>
    </row>
    <row r="360">
      <c r="A360" s="7">
        <v>355.0</v>
      </c>
      <c r="B360" s="7" t="s">
        <v>375</v>
      </c>
      <c r="C360" s="7" t="str">
        <f>IFERROR(__xludf.DUMMYFUNCTION("GOOGLETRANSLATE($B360, $A$2, $B$2)"),"6 days ago")</f>
        <v>6 days ago</v>
      </c>
      <c r="D360" s="7" t="s">
        <v>1102</v>
      </c>
      <c r="E360" s="7" t="s">
        <v>742</v>
      </c>
      <c r="F360" s="7" t="s">
        <v>1103</v>
      </c>
      <c r="G360" s="7" t="s">
        <v>260</v>
      </c>
      <c r="H360" s="7" t="s">
        <v>261</v>
      </c>
      <c r="I360" s="7" t="s">
        <v>261</v>
      </c>
      <c r="J360" s="7" t="str">
        <f>IFERROR(__xludf.DUMMYFUNCTION("GOOGLETRANSLATE($I360, ""de"", ""en"")"),"NO SALARY DATA")</f>
        <v>NO SALARY DATA</v>
      </c>
      <c r="K360" s="7" t="s">
        <v>261</v>
      </c>
      <c r="L360" s="7" t="s">
        <v>1104</v>
      </c>
      <c r="M360" s="7" t="s">
        <v>263</v>
      </c>
      <c r="N360" s="7" t="s">
        <v>301</v>
      </c>
      <c r="O360" s="7"/>
      <c r="P360" s="37"/>
      <c r="Q360" s="7"/>
    </row>
    <row r="361">
      <c r="A361" s="7">
        <v>356.0</v>
      </c>
      <c r="B361" s="7" t="s">
        <v>324</v>
      </c>
      <c r="C361" s="7" t="str">
        <f>IFERROR(__xludf.DUMMYFUNCTION("GOOGLETRANSLATE($B361, $A$2, $B$2)"),"3 days ago")</f>
        <v>3 days ago</v>
      </c>
      <c r="D361" s="7" t="s">
        <v>628</v>
      </c>
      <c r="E361" s="7" t="s">
        <v>629</v>
      </c>
      <c r="F361" s="7" t="s">
        <v>630</v>
      </c>
      <c r="G361" s="7" t="s">
        <v>260</v>
      </c>
      <c r="H361" s="7" t="s">
        <v>261</v>
      </c>
      <c r="I361" s="7" t="s">
        <v>261</v>
      </c>
      <c r="J361" s="7" t="str">
        <f>IFERROR(__xludf.DUMMYFUNCTION("GOOGLETRANSLATE($I361, ""de"", ""en"")"),"NO SALARY DATA")</f>
        <v>NO SALARY DATA</v>
      </c>
      <c r="K361" s="7" t="s">
        <v>261</v>
      </c>
      <c r="L361" s="7" t="s">
        <v>631</v>
      </c>
      <c r="M361" s="7" t="s">
        <v>452</v>
      </c>
      <c r="N361" s="7" t="s">
        <v>260</v>
      </c>
      <c r="O361" s="7"/>
      <c r="P361" s="35"/>
      <c r="Q361" s="7"/>
    </row>
    <row r="362">
      <c r="A362" s="7">
        <v>357.0</v>
      </c>
      <c r="B362" s="7" t="s">
        <v>265</v>
      </c>
      <c r="C362" s="7" t="str">
        <f>IFERROR(__xludf.DUMMYFUNCTION("GOOGLETRANSLATE($B362, $A$2, $B$2)"),"More than 30 days ago")</f>
        <v>More than 30 days ago</v>
      </c>
      <c r="D362" s="7" t="s">
        <v>1105</v>
      </c>
      <c r="E362" s="7" t="s">
        <v>271</v>
      </c>
      <c r="F362" s="7" t="s">
        <v>564</v>
      </c>
      <c r="G362" s="7" t="s">
        <v>260</v>
      </c>
      <c r="H362" s="7" t="s">
        <v>261</v>
      </c>
      <c r="I362" s="7" t="s">
        <v>261</v>
      </c>
      <c r="J362" s="7" t="str">
        <f>IFERROR(__xludf.DUMMYFUNCTION("GOOGLETRANSLATE($I362, ""de"", ""en"")"),"NO SALARY DATA")</f>
        <v>NO SALARY DATA</v>
      </c>
      <c r="K362" s="7" t="s">
        <v>261</v>
      </c>
      <c r="L362" s="7" t="s">
        <v>455</v>
      </c>
      <c r="M362" s="7" t="s">
        <v>263</v>
      </c>
      <c r="N362" s="7" t="s">
        <v>323</v>
      </c>
      <c r="O362" s="7"/>
      <c r="P362" s="35"/>
      <c r="Q362" s="7"/>
    </row>
    <row r="363">
      <c r="A363" s="7">
        <v>358.0</v>
      </c>
      <c r="B363" s="7" t="s">
        <v>265</v>
      </c>
      <c r="C363" s="7" t="str">
        <f>IFERROR(__xludf.DUMMYFUNCTION("GOOGLETRANSLATE($B363, $A$2, $B$2)"),"More than 30 days ago")</f>
        <v>More than 30 days ago</v>
      </c>
      <c r="D363" s="7" t="s">
        <v>965</v>
      </c>
      <c r="E363" s="7" t="s">
        <v>258</v>
      </c>
      <c r="F363" s="7" t="s">
        <v>1106</v>
      </c>
      <c r="G363" s="7" t="s">
        <v>260</v>
      </c>
      <c r="H363" s="7" t="s">
        <v>261</v>
      </c>
      <c r="I363" s="7" t="s">
        <v>261</v>
      </c>
      <c r="J363" s="7" t="str">
        <f>IFERROR(__xludf.DUMMYFUNCTION("GOOGLETRANSLATE($I363, ""de"", ""en"")"),"NO SALARY DATA")</f>
        <v>NO SALARY DATA</v>
      </c>
      <c r="K363" s="7" t="s">
        <v>261</v>
      </c>
      <c r="L363" s="7" t="s">
        <v>524</v>
      </c>
      <c r="M363" s="7" t="s">
        <v>263</v>
      </c>
      <c r="N363" s="7" t="s">
        <v>819</v>
      </c>
      <c r="O363" s="7"/>
      <c r="P363" s="35"/>
      <c r="Q363" s="7"/>
    </row>
    <row r="364">
      <c r="A364" s="7">
        <v>359.0</v>
      </c>
      <c r="B364" s="7" t="s">
        <v>392</v>
      </c>
      <c r="C364" s="7" t="str">
        <f>IFERROR(__xludf.DUMMYFUNCTION("GOOGLETRANSLATE($B364, $A$2, $B$2)"),"10 days ago")</f>
        <v>10 days ago</v>
      </c>
      <c r="D364" s="7" t="s">
        <v>1107</v>
      </c>
      <c r="E364" s="7" t="s">
        <v>1108</v>
      </c>
      <c r="F364" s="7" t="s">
        <v>1109</v>
      </c>
      <c r="G364" s="7" t="s">
        <v>260</v>
      </c>
      <c r="H364" s="7" t="s">
        <v>261</v>
      </c>
      <c r="I364" s="7" t="s">
        <v>261</v>
      </c>
      <c r="J364" s="7" t="str">
        <f>IFERROR(__xludf.DUMMYFUNCTION("GOOGLETRANSLATE($I364, ""de"", ""en"")"),"NO SALARY DATA")</f>
        <v>NO SALARY DATA</v>
      </c>
      <c r="K364" s="7" t="s">
        <v>261</v>
      </c>
      <c r="L364" s="7" t="s">
        <v>1110</v>
      </c>
      <c r="M364" s="7" t="s">
        <v>263</v>
      </c>
      <c r="N364" s="7" t="s">
        <v>301</v>
      </c>
      <c r="O364" s="7"/>
      <c r="P364" s="37"/>
      <c r="Q364" s="7"/>
    </row>
    <row r="365">
      <c r="A365" s="7">
        <v>360.0</v>
      </c>
      <c r="B365" s="7" t="s">
        <v>559</v>
      </c>
      <c r="C365" s="7" t="str">
        <f>IFERROR(__xludf.DUMMYFUNCTION("GOOGLETRANSLATE($B365, $A$2, $B$2)"),"18 days ago")</f>
        <v>18 days ago</v>
      </c>
      <c r="D365" s="7" t="s">
        <v>791</v>
      </c>
      <c r="E365" s="7" t="s">
        <v>1111</v>
      </c>
      <c r="F365" s="7" t="s">
        <v>1112</v>
      </c>
      <c r="G365" s="7" t="s">
        <v>260</v>
      </c>
      <c r="H365" s="7" t="s">
        <v>261</v>
      </c>
      <c r="I365" s="7" t="s">
        <v>261</v>
      </c>
      <c r="J365" s="7" t="str">
        <f>IFERROR(__xludf.DUMMYFUNCTION("GOOGLETRANSLATE($I365, ""de"", ""en"")"),"NO SALARY DATA")</f>
        <v>NO SALARY DATA</v>
      </c>
      <c r="K365" s="7" t="s">
        <v>261</v>
      </c>
      <c r="L365" s="7" t="s">
        <v>423</v>
      </c>
      <c r="M365" s="7" t="s">
        <v>263</v>
      </c>
      <c r="N365" s="7" t="s">
        <v>260</v>
      </c>
      <c r="O365" s="7"/>
      <c r="P365" s="35"/>
      <c r="Q365" s="7"/>
    </row>
    <row r="366">
      <c r="A366" s="7">
        <v>361.0</v>
      </c>
      <c r="B366" s="7" t="s">
        <v>637</v>
      </c>
      <c r="C366" s="7" t="str">
        <f>IFERROR(__xludf.DUMMYFUNCTION("GOOGLETRANSLATE($B366, $A$2, $B$2)"),"17 days ago")</f>
        <v>17 days ago</v>
      </c>
      <c r="D366" s="7" t="s">
        <v>1113</v>
      </c>
      <c r="E366" s="7" t="s">
        <v>1114</v>
      </c>
      <c r="F366" s="7" t="s">
        <v>1115</v>
      </c>
      <c r="G366" s="7" t="s">
        <v>260</v>
      </c>
      <c r="H366" s="7" t="s">
        <v>261</v>
      </c>
      <c r="I366" s="7" t="s">
        <v>261</v>
      </c>
      <c r="J366" s="7" t="str">
        <f>IFERROR(__xludf.DUMMYFUNCTION("GOOGLETRANSLATE($I366, ""de"", ""en"")"),"NO SALARY DATA")</f>
        <v>NO SALARY DATA</v>
      </c>
      <c r="K366" s="7" t="s">
        <v>261</v>
      </c>
      <c r="L366" s="7" t="s">
        <v>321</v>
      </c>
      <c r="M366" s="7" t="s">
        <v>263</v>
      </c>
      <c r="N366" s="7" t="s">
        <v>725</v>
      </c>
      <c r="O366" s="7"/>
      <c r="P366" s="35"/>
      <c r="Q366" s="7"/>
    </row>
    <row r="367">
      <c r="A367" s="7">
        <v>362.0</v>
      </c>
      <c r="B367" s="7" t="s">
        <v>265</v>
      </c>
      <c r="C367" s="7" t="str">
        <f>IFERROR(__xludf.DUMMYFUNCTION("GOOGLETRANSLATE($B367, $A$2, $B$2)"),"More than 30 days ago")</f>
        <v>More than 30 days ago</v>
      </c>
      <c r="D367" s="7" t="s">
        <v>1116</v>
      </c>
      <c r="E367" s="7" t="s">
        <v>1117</v>
      </c>
      <c r="F367" s="7" t="s">
        <v>1118</v>
      </c>
      <c r="G367" s="7" t="s">
        <v>260</v>
      </c>
      <c r="H367" s="7" t="s">
        <v>261</v>
      </c>
      <c r="I367" s="7" t="s">
        <v>261</v>
      </c>
      <c r="J367" s="7" t="str">
        <f>IFERROR(__xludf.DUMMYFUNCTION("GOOGLETRANSLATE($I367, ""de"", ""en"")"),"NO SALARY DATA")</f>
        <v>NO SALARY DATA</v>
      </c>
      <c r="K367" s="7" t="s">
        <v>261</v>
      </c>
      <c r="L367" s="7" t="s">
        <v>1119</v>
      </c>
      <c r="M367" s="7" t="s">
        <v>263</v>
      </c>
      <c r="N367" s="7" t="s">
        <v>323</v>
      </c>
      <c r="O367" s="7"/>
      <c r="P367" s="37"/>
      <c r="Q367" s="7"/>
    </row>
    <row r="368">
      <c r="A368" s="7">
        <v>363.0</v>
      </c>
      <c r="B368" s="7" t="s">
        <v>265</v>
      </c>
      <c r="C368" s="7" t="str">
        <f>IFERROR(__xludf.DUMMYFUNCTION("GOOGLETRANSLATE($B368, $A$2, $B$2)"),"More than 30 days ago")</f>
        <v>More than 30 days ago</v>
      </c>
      <c r="D368" s="7" t="s">
        <v>706</v>
      </c>
      <c r="E368" s="7" t="s">
        <v>372</v>
      </c>
      <c r="F368" s="7" t="s">
        <v>1078</v>
      </c>
      <c r="G368" s="7" t="s">
        <v>260</v>
      </c>
      <c r="H368" s="7" t="s">
        <v>261</v>
      </c>
      <c r="I368" s="7" t="s">
        <v>261</v>
      </c>
      <c r="J368" s="7" t="str">
        <f>IFERROR(__xludf.DUMMYFUNCTION("GOOGLETRANSLATE($I368, ""de"", ""en"")"),"NO SALARY DATA")</f>
        <v>NO SALARY DATA</v>
      </c>
      <c r="K368" s="7" t="s">
        <v>261</v>
      </c>
      <c r="L368" s="7" t="s">
        <v>756</v>
      </c>
      <c r="M368" s="7" t="s">
        <v>263</v>
      </c>
      <c r="N368" s="7" t="s">
        <v>260</v>
      </c>
      <c r="O368" s="7"/>
      <c r="P368" s="37"/>
      <c r="Q368" s="7"/>
    </row>
    <row r="369">
      <c r="A369" s="7">
        <v>364.0</v>
      </c>
      <c r="B369" s="7" t="s">
        <v>265</v>
      </c>
      <c r="C369" s="7" t="str">
        <f>IFERROR(__xludf.DUMMYFUNCTION("GOOGLETRANSLATE($B369, $A$2, $B$2)"),"More than 30 days ago")</f>
        <v>More than 30 days ago</v>
      </c>
      <c r="D369" s="7" t="s">
        <v>1120</v>
      </c>
      <c r="E369" s="7" t="s">
        <v>1121</v>
      </c>
      <c r="F369" s="7" t="s">
        <v>1122</v>
      </c>
      <c r="G369" s="7" t="s">
        <v>260</v>
      </c>
      <c r="H369" s="7" t="s">
        <v>261</v>
      </c>
      <c r="I369" s="7" t="s">
        <v>261</v>
      </c>
      <c r="J369" s="7" t="str">
        <f>IFERROR(__xludf.DUMMYFUNCTION("GOOGLETRANSLATE($I369, ""de"", ""en"")"),"NO SALARY DATA")</f>
        <v>NO SALARY DATA</v>
      </c>
      <c r="K369" s="7" t="s">
        <v>261</v>
      </c>
      <c r="L369" s="7" t="s">
        <v>455</v>
      </c>
      <c r="M369" s="7" t="s">
        <v>263</v>
      </c>
      <c r="N369" s="7" t="s">
        <v>260</v>
      </c>
      <c r="O369" s="7"/>
      <c r="P369" s="35"/>
      <c r="Q369" s="7"/>
    </row>
    <row r="370">
      <c r="A370" s="7">
        <v>365.0</v>
      </c>
      <c r="B370" s="7" t="s">
        <v>265</v>
      </c>
      <c r="C370" s="7" t="str">
        <f>IFERROR(__xludf.DUMMYFUNCTION("GOOGLETRANSLATE($B370, $A$2, $B$2)"),"More than 30 days ago")</f>
        <v>More than 30 days ago</v>
      </c>
      <c r="D370" s="7" t="s">
        <v>1123</v>
      </c>
      <c r="E370" s="7" t="s">
        <v>405</v>
      </c>
      <c r="F370" s="7" t="s">
        <v>406</v>
      </c>
      <c r="G370" s="7" t="s">
        <v>260</v>
      </c>
      <c r="H370" s="7" t="s">
        <v>261</v>
      </c>
      <c r="I370" s="7" t="s">
        <v>261</v>
      </c>
      <c r="J370" s="7" t="str">
        <f>IFERROR(__xludf.DUMMYFUNCTION("GOOGLETRANSLATE($I370, ""de"", ""en"")"),"NO SALARY DATA")</f>
        <v>NO SALARY DATA</v>
      </c>
      <c r="K370" s="7" t="s">
        <v>261</v>
      </c>
      <c r="L370" s="7" t="s">
        <v>391</v>
      </c>
      <c r="M370" s="7" t="s">
        <v>263</v>
      </c>
      <c r="N370" s="7" t="s">
        <v>275</v>
      </c>
      <c r="O370" s="7"/>
      <c r="P370" s="37"/>
      <c r="Q370" s="7"/>
    </row>
    <row r="371">
      <c r="A371" s="7">
        <v>366.0</v>
      </c>
      <c r="B371" s="7" t="s">
        <v>265</v>
      </c>
      <c r="C371" s="7" t="str">
        <f>IFERROR(__xludf.DUMMYFUNCTION("GOOGLETRANSLATE($B371, $A$2, $B$2)"),"More than 30 days ago")</f>
        <v>More than 30 days ago</v>
      </c>
      <c r="D371" s="7" t="s">
        <v>1124</v>
      </c>
      <c r="E371" s="7" t="s">
        <v>520</v>
      </c>
      <c r="F371" s="7" t="s">
        <v>1125</v>
      </c>
      <c r="G371" s="7" t="s">
        <v>260</v>
      </c>
      <c r="H371" s="7" t="s">
        <v>261</v>
      </c>
      <c r="I371" s="7" t="s">
        <v>261</v>
      </c>
      <c r="J371" s="7" t="str">
        <f>IFERROR(__xludf.DUMMYFUNCTION("GOOGLETRANSLATE($I371, ""de"", ""en"")"),"NO SALARY DATA")</f>
        <v>NO SALARY DATA</v>
      </c>
      <c r="K371" s="7" t="s">
        <v>261</v>
      </c>
      <c r="L371" s="7" t="s">
        <v>312</v>
      </c>
      <c r="M371" s="7" t="s">
        <v>452</v>
      </c>
      <c r="N371" s="7" t="s">
        <v>260</v>
      </c>
      <c r="O371" s="7"/>
      <c r="P371" s="37"/>
      <c r="Q371" s="7"/>
    </row>
    <row r="372">
      <c r="A372" s="7">
        <v>367.0</v>
      </c>
      <c r="B372" s="7" t="s">
        <v>265</v>
      </c>
      <c r="C372" s="7" t="str">
        <f>IFERROR(__xludf.DUMMYFUNCTION("GOOGLETRANSLATE($B372, $A$2, $B$2)"),"More than 30 days ago")</f>
        <v>More than 30 days ago</v>
      </c>
      <c r="D372" s="7" t="s">
        <v>1126</v>
      </c>
      <c r="E372" s="7" t="s">
        <v>548</v>
      </c>
      <c r="F372" s="7" t="s">
        <v>1127</v>
      </c>
      <c r="G372" s="7" t="s">
        <v>260</v>
      </c>
      <c r="H372" s="7" t="s">
        <v>261</v>
      </c>
      <c r="I372" s="7" t="s">
        <v>261</v>
      </c>
      <c r="J372" s="7" t="str">
        <f>IFERROR(__xludf.DUMMYFUNCTION("GOOGLETRANSLATE($I372, ""de"", ""en"")"),"NO SALARY DATA")</f>
        <v>NO SALARY DATA</v>
      </c>
      <c r="K372" s="7" t="s">
        <v>261</v>
      </c>
      <c r="L372" s="7" t="s">
        <v>282</v>
      </c>
      <c r="M372" s="7" t="s">
        <v>263</v>
      </c>
      <c r="N372" s="7" t="s">
        <v>260</v>
      </c>
      <c r="O372" s="7"/>
      <c r="P372" s="37"/>
      <c r="Q372" s="7"/>
    </row>
    <row r="373">
      <c r="A373" s="7">
        <v>368.0</v>
      </c>
      <c r="B373" s="7" t="s">
        <v>288</v>
      </c>
      <c r="C373" s="7" t="str">
        <f>IFERROR(__xludf.DUMMYFUNCTION("GOOGLETRANSLATE($B373, $A$2, $B$2)"),"2 days ago")</f>
        <v>2 days ago</v>
      </c>
      <c r="D373" s="7" t="s">
        <v>1128</v>
      </c>
      <c r="E373" s="7" t="s">
        <v>271</v>
      </c>
      <c r="F373" s="7" t="s">
        <v>1129</v>
      </c>
      <c r="G373" s="7" t="s">
        <v>260</v>
      </c>
      <c r="H373" s="7" t="s">
        <v>261</v>
      </c>
      <c r="I373" s="7" t="s">
        <v>261</v>
      </c>
      <c r="J373" s="7" t="str">
        <f>IFERROR(__xludf.DUMMYFUNCTION("GOOGLETRANSLATE($I373, ""de"", ""en"")"),"NO SALARY DATA")</f>
        <v>NO SALARY DATA</v>
      </c>
      <c r="K373" s="7" t="s">
        <v>261</v>
      </c>
      <c r="L373" s="7" t="s">
        <v>327</v>
      </c>
      <c r="M373" s="7" t="s">
        <v>263</v>
      </c>
      <c r="N373" s="7" t="s">
        <v>260</v>
      </c>
      <c r="O373" s="7"/>
      <c r="P373" s="35"/>
      <c r="Q373" s="7"/>
    </row>
    <row r="374">
      <c r="A374" s="7">
        <v>369.0</v>
      </c>
      <c r="B374" s="7" t="s">
        <v>265</v>
      </c>
      <c r="C374" s="7" t="str">
        <f>IFERROR(__xludf.DUMMYFUNCTION("GOOGLETRANSLATE($B374, $A$2, $B$2)"),"More than 30 days ago")</f>
        <v>More than 30 days ago</v>
      </c>
      <c r="D374" s="7" t="s">
        <v>1130</v>
      </c>
      <c r="E374" s="7" t="s">
        <v>1131</v>
      </c>
      <c r="F374" s="7" t="s">
        <v>1132</v>
      </c>
      <c r="G374" s="7" t="s">
        <v>260</v>
      </c>
      <c r="H374" s="7" t="s">
        <v>261</v>
      </c>
      <c r="I374" s="7" t="s">
        <v>261</v>
      </c>
      <c r="J374" s="7" t="str">
        <f>IFERROR(__xludf.DUMMYFUNCTION("GOOGLETRANSLATE($I374, ""de"", ""en"")"),"NO SALARY DATA")</f>
        <v>NO SALARY DATA</v>
      </c>
      <c r="K374" s="7" t="s">
        <v>261</v>
      </c>
      <c r="L374" s="7" t="s">
        <v>425</v>
      </c>
      <c r="M374" s="7" t="s">
        <v>263</v>
      </c>
      <c r="N374" s="7" t="s">
        <v>296</v>
      </c>
      <c r="O374" s="7"/>
      <c r="P374" s="37"/>
      <c r="Q374" s="7"/>
    </row>
    <row r="375">
      <c r="A375" s="7">
        <v>370.0</v>
      </c>
      <c r="B375" s="7" t="s">
        <v>265</v>
      </c>
      <c r="C375" s="7" t="str">
        <f>IFERROR(__xludf.DUMMYFUNCTION("GOOGLETRANSLATE($B375, $A$2, $B$2)"),"More than 30 days ago")</f>
        <v>More than 30 days ago</v>
      </c>
      <c r="D375" s="7" t="s">
        <v>1133</v>
      </c>
      <c r="E375" s="7" t="s">
        <v>343</v>
      </c>
      <c r="F375" s="7" t="s">
        <v>1134</v>
      </c>
      <c r="G375" s="7" t="s">
        <v>260</v>
      </c>
      <c r="H375" s="7" t="s">
        <v>261</v>
      </c>
      <c r="I375" s="7" t="s">
        <v>261</v>
      </c>
      <c r="J375" s="7" t="str">
        <f>IFERROR(__xludf.DUMMYFUNCTION("GOOGLETRANSLATE($I375, ""de"", ""en"")"),"NO SALARY DATA")</f>
        <v>NO SALARY DATA</v>
      </c>
      <c r="K375" s="7" t="s">
        <v>261</v>
      </c>
      <c r="L375" s="7" t="s">
        <v>490</v>
      </c>
      <c r="M375" s="7" t="s">
        <v>263</v>
      </c>
      <c r="N375" s="7" t="s">
        <v>260</v>
      </c>
      <c r="O375" s="7"/>
      <c r="P375" s="37"/>
      <c r="Q375" s="7"/>
    </row>
    <row r="376">
      <c r="A376" s="7">
        <v>371.0</v>
      </c>
      <c r="B376" s="7" t="s">
        <v>341</v>
      </c>
      <c r="C376" s="7" t="str">
        <f>IFERROR(__xludf.DUMMYFUNCTION("GOOGLETRANSLATE($B376, $A$2, $B$2)"),"before 14 days")</f>
        <v>before 14 days</v>
      </c>
      <c r="D376" s="7" t="s">
        <v>1135</v>
      </c>
      <c r="E376" s="7" t="s">
        <v>480</v>
      </c>
      <c r="F376" s="7" t="s">
        <v>1136</v>
      </c>
      <c r="G376" s="7" t="s">
        <v>260</v>
      </c>
      <c r="H376" s="7" t="s">
        <v>261</v>
      </c>
      <c r="I376" s="7" t="s">
        <v>261</v>
      </c>
      <c r="J376" s="7" t="str">
        <f>IFERROR(__xludf.DUMMYFUNCTION("GOOGLETRANSLATE($I376, ""de"", ""en"")"),"NO SALARY DATA")</f>
        <v>NO SALARY DATA</v>
      </c>
      <c r="K376" s="7" t="s">
        <v>261</v>
      </c>
      <c r="L376" s="7" t="s">
        <v>627</v>
      </c>
      <c r="M376" s="7" t="s">
        <v>274</v>
      </c>
      <c r="N376" s="7" t="s">
        <v>260</v>
      </c>
      <c r="O376" s="7"/>
      <c r="P376" s="37"/>
      <c r="Q376" s="7"/>
    </row>
    <row r="377">
      <c r="A377" s="7">
        <v>372.0</v>
      </c>
      <c r="B377" s="7" t="s">
        <v>508</v>
      </c>
      <c r="C377" s="7" t="str">
        <f>IFERROR(__xludf.DUMMYFUNCTION("GOOGLETRANSLATE($B377, $A$2, $B$2)"),"24 days ago")</f>
        <v>24 days ago</v>
      </c>
      <c r="D377" s="7" t="s">
        <v>1137</v>
      </c>
      <c r="E377" s="7" t="s">
        <v>258</v>
      </c>
      <c r="F377" s="7" t="s">
        <v>1138</v>
      </c>
      <c r="G377" s="7" t="s">
        <v>260</v>
      </c>
      <c r="H377" s="7" t="s">
        <v>261</v>
      </c>
      <c r="I377" s="7" t="s">
        <v>261</v>
      </c>
      <c r="J377" s="7" t="str">
        <f>IFERROR(__xludf.DUMMYFUNCTION("GOOGLETRANSLATE($I377, ""de"", ""en"")"),"NO SALARY DATA")</f>
        <v>NO SALARY DATA</v>
      </c>
      <c r="K377" s="7" t="s">
        <v>261</v>
      </c>
      <c r="L377" s="7"/>
      <c r="M377" s="7" t="s">
        <v>263</v>
      </c>
      <c r="N377" s="7" t="s">
        <v>260</v>
      </c>
      <c r="O377" s="7"/>
      <c r="P377" s="37"/>
      <c r="Q377" s="7"/>
    </row>
    <row r="378">
      <c r="A378" s="7">
        <v>373.0</v>
      </c>
      <c r="B378" s="7" t="s">
        <v>392</v>
      </c>
      <c r="C378" s="7" t="str">
        <f>IFERROR(__xludf.DUMMYFUNCTION("GOOGLETRANSLATE($B378, $A$2, $B$2)"),"10 days ago")</f>
        <v>10 days ago</v>
      </c>
      <c r="D378" s="7" t="s">
        <v>812</v>
      </c>
      <c r="E378" s="7" t="s">
        <v>271</v>
      </c>
      <c r="F378" s="7" t="s">
        <v>813</v>
      </c>
      <c r="G378" s="7" t="s">
        <v>260</v>
      </c>
      <c r="H378" s="7" t="s">
        <v>261</v>
      </c>
      <c r="I378" s="7" t="s">
        <v>261</v>
      </c>
      <c r="J378" s="7" t="str">
        <f>IFERROR(__xludf.DUMMYFUNCTION("GOOGLETRANSLATE($I378, ""de"", ""en"")"),"NO SALARY DATA")</f>
        <v>NO SALARY DATA</v>
      </c>
      <c r="K378" s="7" t="s">
        <v>261</v>
      </c>
      <c r="L378" s="7" t="s">
        <v>777</v>
      </c>
      <c r="M378" s="7" t="s">
        <v>263</v>
      </c>
      <c r="N378" s="7" t="s">
        <v>260</v>
      </c>
      <c r="O378" s="7"/>
      <c r="P378" s="35"/>
      <c r="Q378" s="7"/>
    </row>
    <row r="379">
      <c r="A379" s="7">
        <v>374.0</v>
      </c>
      <c r="B379" s="7" t="s">
        <v>469</v>
      </c>
      <c r="C379" s="7" t="str">
        <f>IFERROR(__xludf.DUMMYFUNCTION("GOOGLETRANSLATE($B379, $A$2, $B$2)"),"19 days ago")</f>
        <v>19 days ago</v>
      </c>
      <c r="D379" s="7" t="s">
        <v>1139</v>
      </c>
      <c r="E379" s="7" t="s">
        <v>1140</v>
      </c>
      <c r="F379" s="7" t="s">
        <v>1141</v>
      </c>
      <c r="G379" s="7" t="s">
        <v>260</v>
      </c>
      <c r="H379" s="7" t="s">
        <v>261</v>
      </c>
      <c r="I379" s="7" t="s">
        <v>261</v>
      </c>
      <c r="J379" s="7" t="str">
        <f>IFERROR(__xludf.DUMMYFUNCTION("GOOGLETRANSLATE($I379, ""de"", ""en"")"),"NO SALARY DATA")</f>
        <v>NO SALARY DATA</v>
      </c>
      <c r="K379" s="7" t="s">
        <v>261</v>
      </c>
      <c r="L379" s="7" t="s">
        <v>721</v>
      </c>
      <c r="M379" s="7" t="s">
        <v>263</v>
      </c>
      <c r="N379" s="7" t="s">
        <v>301</v>
      </c>
      <c r="O379" s="7"/>
      <c r="P379" s="37"/>
      <c r="Q379" s="7"/>
    </row>
    <row r="380">
      <c r="A380" s="7">
        <v>375.0</v>
      </c>
      <c r="B380" s="7" t="s">
        <v>392</v>
      </c>
      <c r="C380" s="7" t="str">
        <f>IFERROR(__xludf.DUMMYFUNCTION("GOOGLETRANSLATE($B380, $A$2, $B$2)"),"10 days ago")</f>
        <v>10 days ago</v>
      </c>
      <c r="D380" s="7" t="s">
        <v>1142</v>
      </c>
      <c r="E380" s="7" t="s">
        <v>1143</v>
      </c>
      <c r="F380" s="7" t="s">
        <v>1144</v>
      </c>
      <c r="G380" s="7" t="s">
        <v>260</v>
      </c>
      <c r="H380" s="7" t="s">
        <v>261</v>
      </c>
      <c r="I380" s="7" t="s">
        <v>261</v>
      </c>
      <c r="J380" s="7" t="str">
        <f>IFERROR(__xludf.DUMMYFUNCTION("GOOGLETRANSLATE($I380, ""de"", ""en"")"),"NO SALARY DATA")</f>
        <v>NO SALARY DATA</v>
      </c>
      <c r="K380" s="7" t="s">
        <v>261</v>
      </c>
      <c r="L380" s="7" t="s">
        <v>441</v>
      </c>
      <c r="M380" s="7" t="s">
        <v>263</v>
      </c>
      <c r="N380" s="7" t="s">
        <v>260</v>
      </c>
      <c r="O380" s="7"/>
      <c r="P380" s="37"/>
      <c r="Q380" s="7"/>
    </row>
    <row r="381">
      <c r="A381" s="7">
        <v>376.0</v>
      </c>
      <c r="B381" s="7" t="s">
        <v>621</v>
      </c>
      <c r="C381" s="7" t="str">
        <f>IFERROR(__xludf.DUMMYFUNCTION("GOOGLETRANSLATE($B381, $A$2, $B$2)"),"20 days ago")</f>
        <v>20 days ago</v>
      </c>
      <c r="D381" s="7" t="s">
        <v>1145</v>
      </c>
      <c r="E381" s="7" t="s">
        <v>258</v>
      </c>
      <c r="F381" s="7" t="s">
        <v>1146</v>
      </c>
      <c r="G381" s="7" t="s">
        <v>260</v>
      </c>
      <c r="H381" s="7" t="s">
        <v>261</v>
      </c>
      <c r="I381" s="7" t="s">
        <v>261</v>
      </c>
      <c r="J381" s="7" t="str">
        <f>IFERROR(__xludf.DUMMYFUNCTION("GOOGLETRANSLATE($I381, ""de"", ""en"")"),"NO SALARY DATA")</f>
        <v>NO SALARY DATA</v>
      </c>
      <c r="K381" s="7" t="s">
        <v>261</v>
      </c>
      <c r="L381" s="7" t="s">
        <v>485</v>
      </c>
      <c r="M381" s="7" t="s">
        <v>263</v>
      </c>
      <c r="N381" s="7" t="s">
        <v>260</v>
      </c>
      <c r="O381" s="7"/>
      <c r="P381" s="37"/>
      <c r="Q381" s="7"/>
    </row>
    <row r="382">
      <c r="A382" s="7">
        <v>377.0</v>
      </c>
      <c r="B382" s="7" t="s">
        <v>358</v>
      </c>
      <c r="C382" s="7" t="str">
        <f>IFERROR(__xludf.DUMMYFUNCTION("GOOGLETRANSLATE($B382, $A$2, $B$2)"),"28 days ago")</f>
        <v>28 days ago</v>
      </c>
      <c r="D382" s="7" t="s">
        <v>1147</v>
      </c>
      <c r="E382" s="7" t="s">
        <v>1148</v>
      </c>
      <c r="F382" s="7" t="s">
        <v>1149</v>
      </c>
      <c r="G382" s="7" t="s">
        <v>260</v>
      </c>
      <c r="H382" s="7" t="s">
        <v>261</v>
      </c>
      <c r="I382" s="7" t="s">
        <v>261</v>
      </c>
      <c r="J382" s="7" t="str">
        <f>IFERROR(__xludf.DUMMYFUNCTION("GOOGLETRANSLATE($I382, ""de"", ""en"")"),"NO SALARY DATA")</f>
        <v>NO SALARY DATA</v>
      </c>
      <c r="K382" s="7" t="s">
        <v>261</v>
      </c>
      <c r="L382" s="7" t="s">
        <v>649</v>
      </c>
      <c r="M382" s="7" t="s">
        <v>263</v>
      </c>
      <c r="N382" s="7" t="s">
        <v>260</v>
      </c>
      <c r="O382" s="7"/>
      <c r="P382" s="35"/>
      <c r="Q382" s="7"/>
    </row>
    <row r="383">
      <c r="A383" s="7">
        <v>378.0</v>
      </c>
      <c r="B383" s="7" t="s">
        <v>265</v>
      </c>
      <c r="C383" s="7" t="str">
        <f>IFERROR(__xludf.DUMMYFUNCTION("GOOGLETRANSLATE($B383, $A$2, $B$2)"),"More than 30 days ago")</f>
        <v>More than 30 days ago</v>
      </c>
      <c r="D383" s="7" t="s">
        <v>1105</v>
      </c>
      <c r="E383" s="7" t="s">
        <v>408</v>
      </c>
      <c r="F383" s="7" t="s">
        <v>1150</v>
      </c>
      <c r="G383" s="7" t="s">
        <v>260</v>
      </c>
      <c r="H383" s="7" t="s">
        <v>261</v>
      </c>
      <c r="I383" s="7" t="s">
        <v>261</v>
      </c>
      <c r="J383" s="7" t="str">
        <f>IFERROR(__xludf.DUMMYFUNCTION("GOOGLETRANSLATE($I383, ""de"", ""en"")"),"NO SALARY DATA")</f>
        <v>NO SALARY DATA</v>
      </c>
      <c r="K383" s="7" t="s">
        <v>261</v>
      </c>
      <c r="L383" s="7" t="s">
        <v>1151</v>
      </c>
      <c r="M383" s="7" t="s">
        <v>263</v>
      </c>
      <c r="N383" s="7" t="s">
        <v>434</v>
      </c>
      <c r="O383" s="7"/>
      <c r="P383" s="35"/>
      <c r="Q383" s="7"/>
    </row>
    <row r="384">
      <c r="A384" s="7">
        <v>379.0</v>
      </c>
      <c r="B384" s="7" t="s">
        <v>375</v>
      </c>
      <c r="C384" s="7" t="str">
        <f>IFERROR(__xludf.DUMMYFUNCTION("GOOGLETRANSLATE($B384, $A$2, $B$2)"),"6 days ago")</f>
        <v>6 days ago</v>
      </c>
      <c r="D384" s="7" t="s">
        <v>1152</v>
      </c>
      <c r="E384" s="7" t="s">
        <v>368</v>
      </c>
      <c r="F384" s="7" t="s">
        <v>1153</v>
      </c>
      <c r="G384" s="7" t="s">
        <v>260</v>
      </c>
      <c r="H384" s="7" t="s">
        <v>261</v>
      </c>
      <c r="I384" s="7" t="s">
        <v>261</v>
      </c>
      <c r="J384" s="7" t="str">
        <f>IFERROR(__xludf.DUMMYFUNCTION("GOOGLETRANSLATE($I384, ""de"", ""en"")"),"NO SALARY DATA")</f>
        <v>NO SALARY DATA</v>
      </c>
      <c r="K384" s="7" t="s">
        <v>261</v>
      </c>
      <c r="L384" s="7"/>
      <c r="M384" s="7" t="s">
        <v>263</v>
      </c>
      <c r="N384" s="7" t="s">
        <v>301</v>
      </c>
      <c r="O384" s="7"/>
      <c r="P384" s="35"/>
      <c r="Q384" s="7"/>
    </row>
    <row r="385">
      <c r="A385" s="7">
        <v>380.0</v>
      </c>
      <c r="B385" s="7" t="s">
        <v>265</v>
      </c>
      <c r="C385" s="7" t="str">
        <f>IFERROR(__xludf.DUMMYFUNCTION("GOOGLETRANSLATE($B385, $A$2, $B$2)"),"More than 30 days ago")</f>
        <v>More than 30 days ago</v>
      </c>
      <c r="D385" s="7" t="s">
        <v>1154</v>
      </c>
      <c r="E385" s="7" t="s">
        <v>1155</v>
      </c>
      <c r="F385" s="7" t="s">
        <v>1156</v>
      </c>
      <c r="G385" s="7" t="s">
        <v>260</v>
      </c>
      <c r="H385" s="7" t="s">
        <v>261</v>
      </c>
      <c r="I385" s="7" t="s">
        <v>261</v>
      </c>
      <c r="J385" s="7" t="str">
        <f>IFERROR(__xludf.DUMMYFUNCTION("GOOGLETRANSLATE($I385, ""de"", ""en"")"),"NO SALARY DATA")</f>
        <v>NO SALARY DATA</v>
      </c>
      <c r="K385" s="7" t="s">
        <v>261</v>
      </c>
      <c r="L385" s="7" t="s">
        <v>423</v>
      </c>
      <c r="M385" s="7" t="s">
        <v>263</v>
      </c>
      <c r="N385" s="7" t="s">
        <v>340</v>
      </c>
      <c r="O385" s="7"/>
      <c r="P385" s="37"/>
      <c r="Q385" s="7"/>
    </row>
    <row r="386">
      <c r="A386" s="7">
        <v>381.0</v>
      </c>
      <c r="B386" s="7" t="s">
        <v>265</v>
      </c>
      <c r="C386" s="7" t="str">
        <f>IFERROR(__xludf.DUMMYFUNCTION("GOOGLETRANSLATE($B386, $A$2, $B$2)"),"More than 30 days ago")</f>
        <v>More than 30 days ago</v>
      </c>
      <c r="D386" s="7" t="s">
        <v>1157</v>
      </c>
      <c r="E386" s="7" t="s">
        <v>280</v>
      </c>
      <c r="F386" s="7" t="s">
        <v>1158</v>
      </c>
      <c r="G386" s="7" t="s">
        <v>1159</v>
      </c>
      <c r="H386" s="7">
        <v>72500.0</v>
      </c>
      <c r="I386" s="7" t="s">
        <v>384</v>
      </c>
      <c r="J386" s="7" t="str">
        <f>IFERROR(__xludf.DUMMYFUNCTION("GOOGLETRANSLATE($I386, ""de"", ""en"")"),"year")</f>
        <v>year</v>
      </c>
      <c r="K386" s="7">
        <v>72500.0</v>
      </c>
      <c r="L386" s="7" t="s">
        <v>327</v>
      </c>
      <c r="M386" s="7" t="s">
        <v>263</v>
      </c>
      <c r="N386" s="7" t="s">
        <v>260</v>
      </c>
      <c r="O386" s="7"/>
      <c r="P386" s="37"/>
      <c r="Q386" s="7"/>
    </row>
    <row r="387">
      <c r="A387" s="7">
        <v>382.0</v>
      </c>
      <c r="B387" s="7" t="s">
        <v>324</v>
      </c>
      <c r="C387" s="7" t="str">
        <f>IFERROR(__xludf.DUMMYFUNCTION("GOOGLETRANSLATE($B387, $A$2, $B$2)"),"3 days ago")</f>
        <v>3 days ago</v>
      </c>
      <c r="D387" s="7" t="s">
        <v>706</v>
      </c>
      <c r="E387" s="7" t="s">
        <v>258</v>
      </c>
      <c r="F387" s="7" t="s">
        <v>755</v>
      </c>
      <c r="G387" s="7" t="s">
        <v>260</v>
      </c>
      <c r="H387" s="7" t="s">
        <v>261</v>
      </c>
      <c r="I387" s="7" t="s">
        <v>261</v>
      </c>
      <c r="J387" s="7" t="str">
        <f>IFERROR(__xludf.DUMMYFUNCTION("GOOGLETRANSLATE($I387, ""de"", ""en"")"),"NO SALARY DATA")</f>
        <v>NO SALARY DATA</v>
      </c>
      <c r="K387" s="7" t="s">
        <v>261</v>
      </c>
      <c r="L387" s="7" t="s">
        <v>756</v>
      </c>
      <c r="M387" s="7" t="s">
        <v>263</v>
      </c>
      <c r="N387" s="7" t="s">
        <v>260</v>
      </c>
      <c r="O387" s="7"/>
      <c r="P387" s="35"/>
      <c r="Q387" s="7"/>
    </row>
    <row r="388">
      <c r="A388" s="7">
        <v>383.0</v>
      </c>
      <c r="B388" s="7" t="s">
        <v>265</v>
      </c>
      <c r="C388" s="7" t="str">
        <f>IFERROR(__xludf.DUMMYFUNCTION("GOOGLETRANSLATE($B388, $A$2, $B$2)"),"More than 30 days ago")</f>
        <v>More than 30 days ago</v>
      </c>
      <c r="D388" s="7" t="s">
        <v>1160</v>
      </c>
      <c r="E388" s="7" t="s">
        <v>343</v>
      </c>
      <c r="F388" s="7" t="s">
        <v>506</v>
      </c>
      <c r="G388" s="7" t="s">
        <v>260</v>
      </c>
      <c r="H388" s="7" t="s">
        <v>261</v>
      </c>
      <c r="I388" s="7" t="s">
        <v>261</v>
      </c>
      <c r="J388" s="7" t="str">
        <f>IFERROR(__xludf.DUMMYFUNCTION("GOOGLETRANSLATE($I388, ""de"", ""en"")"),"NO SALARY DATA")</f>
        <v>NO SALARY DATA</v>
      </c>
      <c r="K388" s="7" t="s">
        <v>261</v>
      </c>
      <c r="L388" s="7" t="s">
        <v>646</v>
      </c>
      <c r="M388" s="7" t="s">
        <v>263</v>
      </c>
      <c r="N388" s="7" t="s">
        <v>507</v>
      </c>
      <c r="O388" s="7"/>
      <c r="P388" s="37"/>
      <c r="Q388" s="7"/>
    </row>
    <row r="389">
      <c r="A389" s="7">
        <v>384.0</v>
      </c>
      <c r="B389" s="7" t="s">
        <v>559</v>
      </c>
      <c r="C389" s="7" t="str">
        <f>IFERROR(__xludf.DUMMYFUNCTION("GOOGLETRANSLATE($B389, $A$2, $B$2)"),"18 days ago")</f>
        <v>18 days ago</v>
      </c>
      <c r="D389" s="7" t="s">
        <v>1161</v>
      </c>
      <c r="E389" s="7" t="s">
        <v>401</v>
      </c>
      <c r="F389" s="7" t="s">
        <v>1162</v>
      </c>
      <c r="G389" s="7" t="s">
        <v>260</v>
      </c>
      <c r="H389" s="7" t="s">
        <v>261</v>
      </c>
      <c r="I389" s="7" t="s">
        <v>261</v>
      </c>
      <c r="J389" s="7" t="str">
        <f>IFERROR(__xludf.DUMMYFUNCTION("GOOGLETRANSLATE($I389, ""de"", ""en"")"),"NO SALARY DATA")</f>
        <v>NO SALARY DATA</v>
      </c>
      <c r="K389" s="7" t="s">
        <v>261</v>
      </c>
      <c r="L389" s="7" t="s">
        <v>374</v>
      </c>
      <c r="M389" s="7" t="s">
        <v>263</v>
      </c>
      <c r="N389" s="7" t="s">
        <v>260</v>
      </c>
      <c r="O389" s="7"/>
      <c r="P389" s="35"/>
      <c r="Q389" s="7"/>
    </row>
    <row r="390">
      <c r="A390" s="7">
        <v>385.0</v>
      </c>
      <c r="B390" s="7" t="s">
        <v>346</v>
      </c>
      <c r="C390" s="7" t="str">
        <f>IFERROR(__xludf.DUMMYFUNCTION("GOOGLETRANSLATE($B390, $A$2, $B$2)"),"12 days ago")</f>
        <v>12 days ago</v>
      </c>
      <c r="D390" s="7" t="s">
        <v>1163</v>
      </c>
      <c r="E390" s="7" t="s">
        <v>669</v>
      </c>
      <c r="F390" s="7" t="s">
        <v>670</v>
      </c>
      <c r="G390" s="7" t="s">
        <v>260</v>
      </c>
      <c r="H390" s="7" t="s">
        <v>261</v>
      </c>
      <c r="I390" s="7" t="s">
        <v>261</v>
      </c>
      <c r="J390" s="7" t="str">
        <f>IFERROR(__xludf.DUMMYFUNCTION("GOOGLETRANSLATE($I390, ""de"", ""en"")"),"NO SALARY DATA")</f>
        <v>NO SALARY DATA</v>
      </c>
      <c r="K390" s="7" t="s">
        <v>261</v>
      </c>
      <c r="L390" s="7" t="s">
        <v>398</v>
      </c>
      <c r="M390" s="7" t="s">
        <v>274</v>
      </c>
      <c r="N390" s="7" t="s">
        <v>532</v>
      </c>
      <c r="O390" s="7"/>
      <c r="P390" s="35"/>
      <c r="Q390" s="7"/>
    </row>
    <row r="391">
      <c r="A391" s="7">
        <v>386.0</v>
      </c>
      <c r="B391" s="7" t="s">
        <v>508</v>
      </c>
      <c r="C391" s="7" t="str">
        <f>IFERROR(__xludf.DUMMYFUNCTION("GOOGLETRANSLATE($B391, $A$2, $B$2)"),"24 days ago")</f>
        <v>24 days ago</v>
      </c>
      <c r="D391" s="7" t="s">
        <v>1164</v>
      </c>
      <c r="E391" s="7" t="s">
        <v>702</v>
      </c>
      <c r="F391" s="7" t="s">
        <v>1165</v>
      </c>
      <c r="G391" s="7" t="s">
        <v>260</v>
      </c>
      <c r="H391" s="7" t="s">
        <v>261</v>
      </c>
      <c r="I391" s="7" t="s">
        <v>261</v>
      </c>
      <c r="J391" s="7" t="str">
        <f>IFERROR(__xludf.DUMMYFUNCTION("GOOGLETRANSLATE($I391, ""de"", ""en"")"),"NO SALARY DATA")</f>
        <v>NO SALARY DATA</v>
      </c>
      <c r="K391" s="7" t="s">
        <v>261</v>
      </c>
      <c r="L391" s="7" t="s">
        <v>1166</v>
      </c>
      <c r="M391" s="7" t="s">
        <v>263</v>
      </c>
      <c r="N391" s="7" t="s">
        <v>725</v>
      </c>
      <c r="O391" s="7"/>
      <c r="P391" s="35"/>
      <c r="Q391" s="7"/>
    </row>
    <row r="392">
      <c r="A392" s="7">
        <v>387.0</v>
      </c>
      <c r="B392" s="7" t="s">
        <v>265</v>
      </c>
      <c r="C392" s="7" t="str">
        <f>IFERROR(__xludf.DUMMYFUNCTION("GOOGLETRANSLATE($B392, $A$2, $B$2)"),"More than 30 days ago")</f>
        <v>More than 30 days ago</v>
      </c>
      <c r="D392" s="7" t="s">
        <v>1167</v>
      </c>
      <c r="E392" s="7" t="s">
        <v>401</v>
      </c>
      <c r="F392" s="7" t="s">
        <v>1168</v>
      </c>
      <c r="G392" s="7" t="s">
        <v>260</v>
      </c>
      <c r="H392" s="7" t="s">
        <v>261</v>
      </c>
      <c r="I392" s="7" t="s">
        <v>261</v>
      </c>
      <c r="J392" s="7" t="str">
        <f>IFERROR(__xludf.DUMMYFUNCTION("GOOGLETRANSLATE($I392, ""de"", ""en"")"),"NO SALARY DATA")</f>
        <v>NO SALARY DATA</v>
      </c>
      <c r="K392" s="7" t="s">
        <v>261</v>
      </c>
      <c r="L392" s="7"/>
      <c r="M392" s="7" t="s">
        <v>263</v>
      </c>
      <c r="N392" s="7" t="s">
        <v>1169</v>
      </c>
      <c r="O392" s="7"/>
      <c r="P392" s="37"/>
      <c r="Q392" s="7"/>
    </row>
    <row r="393">
      <c r="A393" s="7">
        <v>388.0</v>
      </c>
      <c r="B393" s="7" t="s">
        <v>508</v>
      </c>
      <c r="C393" s="7" t="str">
        <f>IFERROR(__xludf.DUMMYFUNCTION("GOOGLETRANSLATE($B393, $A$2, $B$2)"),"24 days ago")</f>
        <v>24 days ago</v>
      </c>
      <c r="D393" s="7" t="s">
        <v>1081</v>
      </c>
      <c r="E393" s="7" t="s">
        <v>258</v>
      </c>
      <c r="F393" s="7" t="s">
        <v>1138</v>
      </c>
      <c r="G393" s="7" t="s">
        <v>260</v>
      </c>
      <c r="H393" s="7" t="s">
        <v>261</v>
      </c>
      <c r="I393" s="7" t="s">
        <v>261</v>
      </c>
      <c r="J393" s="7" t="str">
        <f>IFERROR(__xludf.DUMMYFUNCTION("GOOGLETRANSLATE($I393, ""de"", ""en"")"),"NO SALARY DATA")</f>
        <v>NO SALARY DATA</v>
      </c>
      <c r="K393" s="7" t="s">
        <v>261</v>
      </c>
      <c r="L393" s="7"/>
      <c r="M393" s="7" t="s">
        <v>263</v>
      </c>
      <c r="N393" s="7" t="s">
        <v>260</v>
      </c>
      <c r="O393" s="7"/>
      <c r="P393" s="35"/>
      <c r="Q393" s="7"/>
    </row>
    <row r="394">
      <c r="A394" s="7">
        <v>389.0</v>
      </c>
      <c r="B394" s="7" t="s">
        <v>324</v>
      </c>
      <c r="C394" s="7" t="str">
        <f>IFERROR(__xludf.DUMMYFUNCTION("GOOGLETRANSLATE($B394, $A$2, $B$2)"),"3 days ago")</f>
        <v>3 days ago</v>
      </c>
      <c r="D394" s="7" t="s">
        <v>328</v>
      </c>
      <c r="E394" s="7" t="s">
        <v>348</v>
      </c>
      <c r="F394" s="7" t="s">
        <v>1170</v>
      </c>
      <c r="G394" s="7" t="s">
        <v>260</v>
      </c>
      <c r="H394" s="7" t="s">
        <v>261</v>
      </c>
      <c r="I394" s="7" t="s">
        <v>261</v>
      </c>
      <c r="J394" s="7" t="str">
        <f>IFERROR(__xludf.DUMMYFUNCTION("GOOGLETRANSLATE($I394, ""de"", ""en"")"),"NO SALARY DATA")</f>
        <v>NO SALARY DATA</v>
      </c>
      <c r="K394" s="7" t="s">
        <v>261</v>
      </c>
      <c r="L394" s="7" t="s">
        <v>345</v>
      </c>
      <c r="M394" s="7" t="s">
        <v>263</v>
      </c>
      <c r="N394" s="7" t="s">
        <v>399</v>
      </c>
      <c r="O394" s="7"/>
      <c r="P394" s="37"/>
      <c r="Q394" s="7"/>
    </row>
    <row r="395">
      <c r="A395" s="7">
        <v>390.0</v>
      </c>
      <c r="B395" s="7" t="s">
        <v>332</v>
      </c>
      <c r="C395" s="7" t="str">
        <f>IFERROR(__xludf.DUMMYFUNCTION("GOOGLETRANSLATE($B395, $A$2, $B$2)"),"4 days ago")</f>
        <v>4 days ago</v>
      </c>
      <c r="D395" s="7" t="s">
        <v>762</v>
      </c>
      <c r="E395" s="7" t="s">
        <v>683</v>
      </c>
      <c r="F395" s="7" t="s">
        <v>1171</v>
      </c>
      <c r="G395" s="7" t="s">
        <v>260</v>
      </c>
      <c r="H395" s="7" t="s">
        <v>261</v>
      </c>
      <c r="I395" s="7" t="s">
        <v>261</v>
      </c>
      <c r="J395" s="7" t="str">
        <f>IFERROR(__xludf.DUMMYFUNCTION("GOOGLETRANSLATE($I395, ""de"", ""en"")"),"NO SALARY DATA")</f>
        <v>NO SALARY DATA</v>
      </c>
      <c r="K395" s="7" t="s">
        <v>261</v>
      </c>
      <c r="L395" s="7" t="s">
        <v>1172</v>
      </c>
      <c r="M395" s="7" t="s">
        <v>263</v>
      </c>
      <c r="N395" s="7" t="s">
        <v>260</v>
      </c>
      <c r="O395" s="7"/>
      <c r="P395" s="37"/>
      <c r="Q395" s="7"/>
    </row>
    <row r="396">
      <c r="A396" s="7">
        <v>391.0</v>
      </c>
      <c r="B396" s="7" t="s">
        <v>533</v>
      </c>
      <c r="C396" s="7" t="str">
        <f>IFERROR(__xludf.DUMMYFUNCTION("GOOGLETRANSLATE($B396, $A$2, $B$2)"),"11 days ago")</f>
        <v>11 days ago</v>
      </c>
      <c r="D396" s="7" t="s">
        <v>1161</v>
      </c>
      <c r="E396" s="7" t="s">
        <v>271</v>
      </c>
      <c r="F396" s="7" t="s">
        <v>1173</v>
      </c>
      <c r="G396" s="7" t="s">
        <v>260</v>
      </c>
      <c r="H396" s="7" t="s">
        <v>261</v>
      </c>
      <c r="I396" s="7" t="s">
        <v>261</v>
      </c>
      <c r="J396" s="7" t="str">
        <f>IFERROR(__xludf.DUMMYFUNCTION("GOOGLETRANSLATE($I396, ""de"", ""en"")"),"NO SALARY DATA")</f>
        <v>NO SALARY DATA</v>
      </c>
      <c r="K396" s="7" t="s">
        <v>261</v>
      </c>
      <c r="L396" s="7" t="s">
        <v>295</v>
      </c>
      <c r="M396" s="7" t="s">
        <v>263</v>
      </c>
      <c r="N396" s="7" t="s">
        <v>260</v>
      </c>
      <c r="O396" s="7"/>
      <c r="P396" s="37"/>
      <c r="Q396" s="7"/>
    </row>
    <row r="397">
      <c r="A397" s="7">
        <v>392.0</v>
      </c>
      <c r="B397" s="7" t="s">
        <v>265</v>
      </c>
      <c r="C397" s="7" t="str">
        <f>IFERROR(__xludf.DUMMYFUNCTION("GOOGLETRANSLATE($B397, $A$2, $B$2)"),"More than 30 days ago")</f>
        <v>More than 30 days ago</v>
      </c>
      <c r="D397" s="7" t="s">
        <v>1174</v>
      </c>
      <c r="E397" s="7" t="s">
        <v>280</v>
      </c>
      <c r="F397" s="7" t="s">
        <v>1175</v>
      </c>
      <c r="G397" s="7" t="s">
        <v>260</v>
      </c>
      <c r="H397" s="7" t="s">
        <v>261</v>
      </c>
      <c r="I397" s="7" t="s">
        <v>261</v>
      </c>
      <c r="J397" s="7" t="str">
        <f>IFERROR(__xludf.DUMMYFUNCTION("GOOGLETRANSLATE($I397, ""de"", ""en"")"),"NO SALARY DATA")</f>
        <v>NO SALARY DATA</v>
      </c>
      <c r="K397" s="7" t="s">
        <v>261</v>
      </c>
      <c r="L397" s="7" t="s">
        <v>423</v>
      </c>
      <c r="M397" s="7" t="s">
        <v>263</v>
      </c>
      <c r="N397" s="7" t="s">
        <v>260</v>
      </c>
      <c r="O397" s="7"/>
      <c r="P397" s="35"/>
      <c r="Q397" s="7"/>
    </row>
    <row r="398">
      <c r="A398" s="7">
        <v>393.0</v>
      </c>
      <c r="B398" s="7" t="s">
        <v>265</v>
      </c>
      <c r="C398" s="7" t="str">
        <f>IFERROR(__xludf.DUMMYFUNCTION("GOOGLETRANSLATE($B398, $A$2, $B$2)"),"More than 30 days ago")</f>
        <v>More than 30 days ago</v>
      </c>
      <c r="D398" s="7" t="s">
        <v>1176</v>
      </c>
      <c r="E398" s="7" t="s">
        <v>258</v>
      </c>
      <c r="F398" s="7" t="s">
        <v>1177</v>
      </c>
      <c r="G398" s="7" t="s">
        <v>260</v>
      </c>
      <c r="H398" s="7" t="s">
        <v>261</v>
      </c>
      <c r="I398" s="7" t="s">
        <v>261</v>
      </c>
      <c r="J398" s="7" t="str">
        <f>IFERROR(__xludf.DUMMYFUNCTION("GOOGLETRANSLATE($I398, ""de"", ""en"")"),"NO SALARY DATA")</f>
        <v>NO SALARY DATA</v>
      </c>
      <c r="K398" s="7" t="s">
        <v>261</v>
      </c>
      <c r="L398" s="7" t="s">
        <v>425</v>
      </c>
      <c r="M398" s="7" t="s">
        <v>263</v>
      </c>
      <c r="N398" s="7" t="s">
        <v>486</v>
      </c>
      <c r="O398" s="7"/>
      <c r="P398" s="37"/>
      <c r="Q398" s="7"/>
    </row>
    <row r="399">
      <c r="A399" s="7">
        <v>394.0</v>
      </c>
      <c r="B399" s="7" t="s">
        <v>265</v>
      </c>
      <c r="C399" s="7" t="str">
        <f>IFERROR(__xludf.DUMMYFUNCTION("GOOGLETRANSLATE($B399, $A$2, $B$2)"),"More than 30 days ago")</f>
        <v>More than 30 days ago</v>
      </c>
      <c r="D399" s="7" t="s">
        <v>1063</v>
      </c>
      <c r="E399" s="7" t="s">
        <v>401</v>
      </c>
      <c r="F399" s="7" t="s">
        <v>1178</v>
      </c>
      <c r="G399" s="7" t="s">
        <v>260</v>
      </c>
      <c r="H399" s="7" t="s">
        <v>261</v>
      </c>
      <c r="I399" s="7" t="s">
        <v>261</v>
      </c>
      <c r="J399" s="7" t="str">
        <f>IFERROR(__xludf.DUMMYFUNCTION("GOOGLETRANSLATE($I399, ""de"", ""en"")"),"NO SALARY DATA")</f>
        <v>NO SALARY DATA</v>
      </c>
      <c r="K399" s="7" t="s">
        <v>261</v>
      </c>
      <c r="L399" s="7" t="s">
        <v>1179</v>
      </c>
      <c r="M399" s="7" t="s">
        <v>263</v>
      </c>
      <c r="N399" s="7" t="s">
        <v>260</v>
      </c>
      <c r="O399" s="7"/>
      <c r="P399" s="37"/>
      <c r="Q399" s="7"/>
    </row>
    <row r="400">
      <c r="A400" s="7">
        <v>395.0</v>
      </c>
      <c r="B400" s="7" t="s">
        <v>650</v>
      </c>
      <c r="C400" s="7" t="str">
        <f>IFERROR(__xludf.DUMMYFUNCTION("GOOGLETRANSLATE($B400, $A$2, $B$2)"),"16 days ago")</f>
        <v>16 days ago</v>
      </c>
      <c r="D400" s="7" t="s">
        <v>351</v>
      </c>
      <c r="E400" s="7" t="s">
        <v>858</v>
      </c>
      <c r="F400" s="7" t="s">
        <v>718</v>
      </c>
      <c r="G400" s="7" t="s">
        <v>260</v>
      </c>
      <c r="H400" s="7" t="s">
        <v>261</v>
      </c>
      <c r="I400" s="7" t="s">
        <v>261</v>
      </c>
      <c r="J400" s="7" t="str">
        <f>IFERROR(__xludf.DUMMYFUNCTION("GOOGLETRANSLATE($I400, ""de"", ""en"")"),"NO SALARY DATA")</f>
        <v>NO SALARY DATA</v>
      </c>
      <c r="K400" s="7" t="s">
        <v>261</v>
      </c>
      <c r="L400" s="7" t="s">
        <v>566</v>
      </c>
      <c r="M400" s="7" t="s">
        <v>263</v>
      </c>
      <c r="N400" s="7" t="s">
        <v>260</v>
      </c>
      <c r="O400" s="7"/>
      <c r="P400" s="35"/>
      <c r="Q400" s="7"/>
    </row>
    <row r="401">
      <c r="A401" s="7">
        <v>396.0</v>
      </c>
      <c r="B401" s="7" t="s">
        <v>442</v>
      </c>
      <c r="C401" s="7" t="str">
        <f>IFERROR(__xludf.DUMMYFUNCTION("GOOGLETRANSLATE($B401, $A$2, $B$2)"),"26 days ago")</f>
        <v>26 days ago</v>
      </c>
      <c r="D401" s="7" t="s">
        <v>1180</v>
      </c>
      <c r="E401" s="7" t="s">
        <v>348</v>
      </c>
      <c r="F401" s="7" t="s">
        <v>1181</v>
      </c>
      <c r="G401" s="7" t="s">
        <v>260</v>
      </c>
      <c r="H401" s="7" t="s">
        <v>261</v>
      </c>
      <c r="I401" s="7" t="s">
        <v>261</v>
      </c>
      <c r="J401" s="7" t="str">
        <f>IFERROR(__xludf.DUMMYFUNCTION("GOOGLETRANSLATE($I401, ""de"", ""en"")"),"NO SALARY DATA")</f>
        <v>NO SALARY DATA</v>
      </c>
      <c r="K401" s="7" t="s">
        <v>261</v>
      </c>
      <c r="L401" s="7" t="s">
        <v>569</v>
      </c>
      <c r="M401" s="7" t="s">
        <v>263</v>
      </c>
      <c r="N401" s="7" t="s">
        <v>264</v>
      </c>
      <c r="O401" s="7"/>
      <c r="P401" s="37"/>
      <c r="Q401" s="7"/>
    </row>
    <row r="402">
      <c r="A402" s="7">
        <v>397.0</v>
      </c>
      <c r="B402" s="7" t="s">
        <v>256</v>
      </c>
      <c r="C402" s="7" t="str">
        <f>IFERROR(__xludf.DUMMYFUNCTION("GOOGLETRANSLATE($B402, $A$2, $B$2)"),"7 days ago")</f>
        <v>7 days ago</v>
      </c>
      <c r="D402" s="7" t="s">
        <v>861</v>
      </c>
      <c r="E402" s="7" t="s">
        <v>258</v>
      </c>
      <c r="F402" s="7" t="s">
        <v>862</v>
      </c>
      <c r="G402" s="7" t="s">
        <v>260</v>
      </c>
      <c r="H402" s="7" t="s">
        <v>261</v>
      </c>
      <c r="I402" s="7" t="s">
        <v>261</v>
      </c>
      <c r="J402" s="7" t="str">
        <f>IFERROR(__xludf.DUMMYFUNCTION("GOOGLETRANSLATE($I402, ""de"", ""en"")"),"NO SALARY DATA")</f>
        <v>NO SALARY DATA</v>
      </c>
      <c r="K402" s="7" t="s">
        <v>261</v>
      </c>
      <c r="L402" s="7" t="s">
        <v>585</v>
      </c>
      <c r="M402" s="7" t="s">
        <v>452</v>
      </c>
      <c r="N402" s="7" t="s">
        <v>260</v>
      </c>
      <c r="O402" s="7"/>
      <c r="P402" s="35"/>
      <c r="Q402" s="7"/>
    </row>
    <row r="403">
      <c r="A403" s="7">
        <v>398.0</v>
      </c>
      <c r="B403" s="7" t="s">
        <v>265</v>
      </c>
      <c r="C403" s="7" t="str">
        <f>IFERROR(__xludf.DUMMYFUNCTION("GOOGLETRANSLATE($B403, $A$2, $B$2)"),"More than 30 days ago")</f>
        <v>More than 30 days ago</v>
      </c>
      <c r="D403" s="7" t="s">
        <v>477</v>
      </c>
      <c r="E403" s="7" t="s">
        <v>271</v>
      </c>
      <c r="F403" s="7" t="s">
        <v>904</v>
      </c>
      <c r="G403" s="7" t="s">
        <v>260</v>
      </c>
      <c r="H403" s="7" t="s">
        <v>261</v>
      </c>
      <c r="I403" s="7" t="s">
        <v>261</v>
      </c>
      <c r="J403" s="7" t="str">
        <f>IFERROR(__xludf.DUMMYFUNCTION("GOOGLETRANSLATE($I403, ""de"", ""en"")"),"NO SALARY DATA")</f>
        <v>NO SALARY DATA</v>
      </c>
      <c r="K403" s="7" t="s">
        <v>261</v>
      </c>
      <c r="L403" s="7" t="s">
        <v>455</v>
      </c>
      <c r="M403" s="7" t="s">
        <v>274</v>
      </c>
      <c r="N403" s="7" t="s">
        <v>336</v>
      </c>
      <c r="O403" s="7"/>
      <c r="P403" s="35"/>
      <c r="Q403" s="7"/>
    </row>
    <row r="404">
      <c r="A404" s="7">
        <v>399.0</v>
      </c>
      <c r="B404" s="7" t="s">
        <v>265</v>
      </c>
      <c r="C404" s="7" t="str">
        <f>IFERROR(__xludf.DUMMYFUNCTION("GOOGLETRANSLATE($B404, $A$2, $B$2)"),"More than 30 days ago")</f>
        <v>More than 30 days ago</v>
      </c>
      <c r="D404" s="7" t="s">
        <v>1182</v>
      </c>
      <c r="E404" s="7" t="s">
        <v>520</v>
      </c>
      <c r="F404" s="7" t="s">
        <v>1183</v>
      </c>
      <c r="G404" s="7" t="s">
        <v>260</v>
      </c>
      <c r="H404" s="7" t="s">
        <v>261</v>
      </c>
      <c r="I404" s="7" t="s">
        <v>261</v>
      </c>
      <c r="J404" s="7" t="str">
        <f>IFERROR(__xludf.DUMMYFUNCTION("GOOGLETRANSLATE($I404, ""de"", ""en"")"),"NO SALARY DATA")</f>
        <v>NO SALARY DATA</v>
      </c>
      <c r="K404" s="7" t="s">
        <v>261</v>
      </c>
      <c r="L404" s="7" t="s">
        <v>282</v>
      </c>
      <c r="M404" s="7" t="s">
        <v>263</v>
      </c>
      <c r="N404" s="7" t="s">
        <v>704</v>
      </c>
      <c r="O404" s="7"/>
      <c r="P404" s="35"/>
      <c r="Q404" s="7"/>
    </row>
    <row r="405">
      <c r="A405" s="7">
        <v>400.0</v>
      </c>
      <c r="B405" s="7" t="s">
        <v>265</v>
      </c>
      <c r="C405" s="7" t="str">
        <f>IFERROR(__xludf.DUMMYFUNCTION("GOOGLETRANSLATE($B405, $A$2, $B$2)"),"More than 30 days ago")</f>
        <v>More than 30 days ago</v>
      </c>
      <c r="D405" s="7" t="s">
        <v>1184</v>
      </c>
      <c r="E405" s="7" t="s">
        <v>258</v>
      </c>
      <c r="F405" s="7" t="s">
        <v>821</v>
      </c>
      <c r="G405" s="7" t="s">
        <v>260</v>
      </c>
      <c r="H405" s="7" t="s">
        <v>261</v>
      </c>
      <c r="I405" s="7" t="s">
        <v>261</v>
      </c>
      <c r="J405" s="7" t="str">
        <f>IFERROR(__xludf.DUMMYFUNCTION("GOOGLETRANSLATE($I405, ""de"", ""en"")"),"NO SALARY DATA")</f>
        <v>NO SALARY DATA</v>
      </c>
      <c r="K405" s="7" t="s">
        <v>261</v>
      </c>
      <c r="L405" s="7" t="s">
        <v>339</v>
      </c>
      <c r="M405" s="7" t="s">
        <v>263</v>
      </c>
      <c r="N405" s="7" t="s">
        <v>301</v>
      </c>
      <c r="O405" s="7"/>
      <c r="P405" s="37"/>
      <c r="Q405" s="7"/>
    </row>
    <row r="406">
      <c r="A406" s="7">
        <v>401.0</v>
      </c>
      <c r="B406" s="7" t="s">
        <v>265</v>
      </c>
      <c r="C406" s="7" t="str">
        <f>IFERROR(__xludf.DUMMYFUNCTION("GOOGLETRANSLATE($B406, $A$2, $B$2)"),"More than 30 days ago")</f>
        <v>More than 30 days ago</v>
      </c>
      <c r="D406" s="7" t="s">
        <v>1185</v>
      </c>
      <c r="E406" s="7" t="s">
        <v>258</v>
      </c>
      <c r="F406" s="7" t="s">
        <v>1186</v>
      </c>
      <c r="G406" s="7" t="s">
        <v>260</v>
      </c>
      <c r="H406" s="7" t="s">
        <v>261</v>
      </c>
      <c r="I406" s="7" t="s">
        <v>261</v>
      </c>
      <c r="J406" s="7" t="str">
        <f>IFERROR(__xludf.DUMMYFUNCTION("GOOGLETRANSLATE($I406, ""de"", ""en"")"),"NO SALARY DATA")</f>
        <v>NO SALARY DATA</v>
      </c>
      <c r="K406" s="7" t="s">
        <v>261</v>
      </c>
      <c r="L406" s="7" t="s">
        <v>1187</v>
      </c>
      <c r="M406" s="7" t="s">
        <v>263</v>
      </c>
      <c r="N406" s="7" t="s">
        <v>260</v>
      </c>
      <c r="O406" s="7"/>
      <c r="P406" s="37"/>
      <c r="Q406" s="7"/>
    </row>
    <row r="407">
      <c r="A407" s="7">
        <v>402.0</v>
      </c>
      <c r="B407" s="7" t="s">
        <v>265</v>
      </c>
      <c r="C407" s="7" t="str">
        <f>IFERROR(__xludf.DUMMYFUNCTION("GOOGLETRANSLATE($B407, $A$2, $B$2)"),"More than 30 days ago")</f>
        <v>More than 30 days ago</v>
      </c>
      <c r="D407" s="7" t="s">
        <v>1188</v>
      </c>
      <c r="E407" s="7" t="s">
        <v>271</v>
      </c>
      <c r="F407" s="7" t="s">
        <v>1189</v>
      </c>
      <c r="G407" s="7" t="s">
        <v>260</v>
      </c>
      <c r="H407" s="7" t="s">
        <v>261</v>
      </c>
      <c r="I407" s="7" t="s">
        <v>261</v>
      </c>
      <c r="J407" s="7" t="str">
        <f>IFERROR(__xludf.DUMMYFUNCTION("GOOGLETRANSLATE($I407, ""de"", ""en"")"),"NO SALARY DATA")</f>
        <v>NO SALARY DATA</v>
      </c>
      <c r="K407" s="7" t="s">
        <v>261</v>
      </c>
      <c r="L407" s="7" t="s">
        <v>339</v>
      </c>
      <c r="M407" s="7" t="s">
        <v>263</v>
      </c>
      <c r="N407" s="7" t="s">
        <v>260</v>
      </c>
      <c r="O407" s="7"/>
      <c r="P407" s="37"/>
      <c r="Q407" s="7"/>
    </row>
    <row r="408">
      <c r="A408" s="7">
        <v>403.0</v>
      </c>
      <c r="B408" s="7" t="s">
        <v>265</v>
      </c>
      <c r="C408" s="7" t="str">
        <f>IFERROR(__xludf.DUMMYFUNCTION("GOOGLETRANSLATE($B408, $A$2, $B$2)"),"More than 30 days ago")</f>
        <v>More than 30 days ago</v>
      </c>
      <c r="D408" s="7" t="s">
        <v>1190</v>
      </c>
      <c r="E408" s="7" t="s">
        <v>480</v>
      </c>
      <c r="F408" s="7" t="s">
        <v>971</v>
      </c>
      <c r="G408" s="7" t="s">
        <v>260</v>
      </c>
      <c r="H408" s="7" t="s">
        <v>261</v>
      </c>
      <c r="I408" s="7" t="s">
        <v>261</v>
      </c>
      <c r="J408" s="7" t="str">
        <f>IFERROR(__xludf.DUMMYFUNCTION("GOOGLETRANSLATE($I408, ""de"", ""en"")"),"NO SALARY DATA")</f>
        <v>NO SALARY DATA</v>
      </c>
      <c r="K408" s="7" t="s">
        <v>261</v>
      </c>
      <c r="L408" s="7"/>
      <c r="M408" s="7" t="s">
        <v>673</v>
      </c>
      <c r="N408" s="7" t="s">
        <v>260</v>
      </c>
      <c r="O408" s="7"/>
      <c r="P408" s="37"/>
      <c r="Q408" s="7"/>
    </row>
    <row r="409">
      <c r="A409" s="7">
        <v>404.0</v>
      </c>
      <c r="B409" s="7" t="s">
        <v>265</v>
      </c>
      <c r="C409" s="7" t="str">
        <f>IFERROR(__xludf.DUMMYFUNCTION("GOOGLETRANSLATE($B409, $A$2, $B$2)"),"More than 30 days ago")</f>
        <v>More than 30 days ago</v>
      </c>
      <c r="D409" s="7" t="s">
        <v>1191</v>
      </c>
      <c r="E409" s="7" t="s">
        <v>348</v>
      </c>
      <c r="F409" s="7" t="s">
        <v>1192</v>
      </c>
      <c r="G409" s="7" t="s">
        <v>260</v>
      </c>
      <c r="H409" s="7" t="s">
        <v>261</v>
      </c>
      <c r="I409" s="7" t="s">
        <v>261</v>
      </c>
      <c r="J409" s="7" t="str">
        <f>IFERROR(__xludf.DUMMYFUNCTION("GOOGLETRANSLATE($I409, ""de"", ""en"")"),"NO SALARY DATA")</f>
        <v>NO SALARY DATA</v>
      </c>
      <c r="K409" s="7" t="s">
        <v>261</v>
      </c>
      <c r="L409" s="7" t="s">
        <v>558</v>
      </c>
      <c r="M409" s="7" t="s">
        <v>263</v>
      </c>
      <c r="N409" s="7" t="s">
        <v>260</v>
      </c>
      <c r="O409" s="7"/>
      <c r="P409" s="35"/>
      <c r="Q409" s="7"/>
    </row>
    <row r="410">
      <c r="A410" s="7">
        <v>405.0</v>
      </c>
      <c r="B410" s="7" t="s">
        <v>265</v>
      </c>
      <c r="C410" s="7" t="str">
        <f>IFERROR(__xludf.DUMMYFUNCTION("GOOGLETRANSLATE($B410, $A$2, $B$2)"),"More than 30 days ago")</f>
        <v>More than 30 days ago</v>
      </c>
      <c r="D410" s="7" t="s">
        <v>827</v>
      </c>
      <c r="E410" s="7" t="s">
        <v>348</v>
      </c>
      <c r="F410" s="7" t="s">
        <v>828</v>
      </c>
      <c r="G410" s="7" t="s">
        <v>260</v>
      </c>
      <c r="H410" s="7" t="s">
        <v>261</v>
      </c>
      <c r="I410" s="7" t="s">
        <v>261</v>
      </c>
      <c r="J410" s="7" t="str">
        <f>IFERROR(__xludf.DUMMYFUNCTION("GOOGLETRANSLATE($I410, ""de"", ""en"")"),"NO SALARY DATA")</f>
        <v>NO SALARY DATA</v>
      </c>
      <c r="K410" s="7" t="s">
        <v>261</v>
      </c>
      <c r="L410" s="7"/>
      <c r="M410" s="7" t="s">
        <v>263</v>
      </c>
      <c r="N410" s="7" t="s">
        <v>434</v>
      </c>
      <c r="O410" s="7"/>
      <c r="P410" s="37"/>
      <c r="Q410" s="7"/>
    </row>
    <row r="411">
      <c r="A411" s="7">
        <v>406.0</v>
      </c>
      <c r="B411" s="7" t="s">
        <v>265</v>
      </c>
      <c r="C411" s="7" t="str">
        <f>IFERROR(__xludf.DUMMYFUNCTION("GOOGLETRANSLATE($B411, $A$2, $B$2)"),"More than 30 days ago")</f>
        <v>More than 30 days ago</v>
      </c>
      <c r="D411" s="7" t="s">
        <v>1193</v>
      </c>
      <c r="E411" s="7" t="s">
        <v>348</v>
      </c>
      <c r="F411" s="7" t="s">
        <v>1194</v>
      </c>
      <c r="G411" s="7" t="s">
        <v>260</v>
      </c>
      <c r="H411" s="7" t="s">
        <v>261</v>
      </c>
      <c r="I411" s="7" t="s">
        <v>261</v>
      </c>
      <c r="J411" s="7" t="str">
        <f>IFERROR(__xludf.DUMMYFUNCTION("GOOGLETRANSLATE($I411, ""de"", ""en"")"),"NO SALARY DATA")</f>
        <v>NO SALARY DATA</v>
      </c>
      <c r="K411" s="7" t="s">
        <v>261</v>
      </c>
      <c r="L411" s="7" t="s">
        <v>286</v>
      </c>
      <c r="M411" s="7" t="s">
        <v>263</v>
      </c>
      <c r="N411" s="7" t="s">
        <v>260</v>
      </c>
      <c r="O411" s="7"/>
      <c r="P411" s="37"/>
      <c r="Q411" s="7"/>
    </row>
    <row r="412">
      <c r="A412" s="7">
        <v>407.0</v>
      </c>
      <c r="B412" s="7" t="s">
        <v>265</v>
      </c>
      <c r="C412" s="7" t="str">
        <f>IFERROR(__xludf.DUMMYFUNCTION("GOOGLETRANSLATE($B412, $A$2, $B$2)"),"More than 30 days ago")</f>
        <v>More than 30 days ago</v>
      </c>
      <c r="D412" s="7" t="s">
        <v>1195</v>
      </c>
      <c r="E412" s="7" t="s">
        <v>401</v>
      </c>
      <c r="F412" s="7" t="s">
        <v>1158</v>
      </c>
      <c r="G412" s="7" t="s">
        <v>1196</v>
      </c>
      <c r="H412" s="7">
        <v>71500.0</v>
      </c>
      <c r="I412" s="7" t="s">
        <v>384</v>
      </c>
      <c r="J412" s="7" t="str">
        <f>IFERROR(__xludf.DUMMYFUNCTION("GOOGLETRANSLATE($I412, ""de"", ""en"")"),"year")</f>
        <v>year</v>
      </c>
      <c r="K412" s="7">
        <v>71500.0</v>
      </c>
      <c r="L412" s="7" t="s">
        <v>441</v>
      </c>
      <c r="M412" s="7" t="s">
        <v>263</v>
      </c>
      <c r="N412" s="7" t="s">
        <v>260</v>
      </c>
      <c r="O412" s="7"/>
      <c r="P412" s="35"/>
      <c r="Q412" s="7"/>
    </row>
    <row r="413">
      <c r="A413" s="7">
        <v>408.0</v>
      </c>
      <c r="B413" s="7" t="s">
        <v>265</v>
      </c>
      <c r="C413" s="7" t="str">
        <f>IFERROR(__xludf.DUMMYFUNCTION("GOOGLETRANSLATE($B413, $A$2, $B$2)"),"More than 30 days ago")</f>
        <v>More than 30 days ago</v>
      </c>
      <c r="D413" s="7" t="s">
        <v>706</v>
      </c>
      <c r="E413" s="7" t="s">
        <v>1197</v>
      </c>
      <c r="F413" s="7" t="s">
        <v>763</v>
      </c>
      <c r="G413" s="7" t="s">
        <v>260</v>
      </c>
      <c r="H413" s="7" t="s">
        <v>261</v>
      </c>
      <c r="I413" s="7" t="s">
        <v>261</v>
      </c>
      <c r="J413" s="7" t="str">
        <f>IFERROR(__xludf.DUMMYFUNCTION("GOOGLETRANSLATE($I413, ""de"", ""en"")"),"NO SALARY DATA")</f>
        <v>NO SALARY DATA</v>
      </c>
      <c r="K413" s="7" t="s">
        <v>261</v>
      </c>
      <c r="L413" s="7" t="s">
        <v>1198</v>
      </c>
      <c r="M413" s="7" t="s">
        <v>263</v>
      </c>
      <c r="N413" s="7" t="s">
        <v>434</v>
      </c>
      <c r="O413" s="7"/>
      <c r="P413" s="35"/>
      <c r="Q413" s="7"/>
    </row>
    <row r="414">
      <c r="A414" s="7">
        <v>409.0</v>
      </c>
      <c r="B414" s="7" t="s">
        <v>332</v>
      </c>
      <c r="C414" s="7" t="str">
        <f>IFERROR(__xludf.DUMMYFUNCTION("GOOGLETRANSLATE($B414, $A$2, $B$2)"),"4 days ago")</f>
        <v>4 days ago</v>
      </c>
      <c r="D414" s="7" t="s">
        <v>1199</v>
      </c>
      <c r="E414" s="7" t="s">
        <v>258</v>
      </c>
      <c r="F414" s="7" t="s">
        <v>1200</v>
      </c>
      <c r="G414" s="7" t="s">
        <v>260</v>
      </c>
      <c r="H414" s="7" t="s">
        <v>261</v>
      </c>
      <c r="I414" s="7" t="s">
        <v>261</v>
      </c>
      <c r="J414" s="7" t="str">
        <f>IFERROR(__xludf.DUMMYFUNCTION("GOOGLETRANSLATE($I414, ""de"", ""en"")"),"NO SALARY DATA")</f>
        <v>NO SALARY DATA</v>
      </c>
      <c r="K414" s="7" t="s">
        <v>261</v>
      </c>
      <c r="L414" s="7" t="s">
        <v>318</v>
      </c>
      <c r="M414" s="7" t="s">
        <v>263</v>
      </c>
      <c r="N414" s="7" t="s">
        <v>532</v>
      </c>
      <c r="O414" s="7"/>
      <c r="P414" s="37"/>
      <c r="Q414" s="7"/>
    </row>
    <row r="415">
      <c r="A415" s="7">
        <v>410.0</v>
      </c>
      <c r="B415" s="7" t="s">
        <v>265</v>
      </c>
      <c r="C415" s="7" t="str">
        <f>IFERROR(__xludf.DUMMYFUNCTION("GOOGLETRANSLATE($B415, $A$2, $B$2)"),"More than 30 days ago")</f>
        <v>More than 30 days ago</v>
      </c>
      <c r="D415" s="7" t="s">
        <v>1201</v>
      </c>
      <c r="E415" s="7" t="s">
        <v>622</v>
      </c>
      <c r="F415" s="7" t="s">
        <v>1202</v>
      </c>
      <c r="G415" s="7" t="s">
        <v>260</v>
      </c>
      <c r="H415" s="7" t="s">
        <v>261</v>
      </c>
      <c r="I415" s="7" t="s">
        <v>261</v>
      </c>
      <c r="J415" s="7" t="str">
        <f>IFERROR(__xludf.DUMMYFUNCTION("GOOGLETRANSLATE($I415, ""de"", ""en"")"),"NO SALARY DATA")</f>
        <v>NO SALARY DATA</v>
      </c>
      <c r="K415" s="7" t="s">
        <v>261</v>
      </c>
      <c r="L415" s="7" t="s">
        <v>822</v>
      </c>
      <c r="M415" s="7" t="s">
        <v>263</v>
      </c>
      <c r="N415" s="7" t="s">
        <v>260</v>
      </c>
      <c r="O415" s="7"/>
      <c r="P415" s="37"/>
      <c r="Q415" s="7"/>
    </row>
    <row r="416">
      <c r="A416" s="7">
        <v>411.0</v>
      </c>
      <c r="B416" s="7" t="s">
        <v>256</v>
      </c>
      <c r="C416" s="7" t="str">
        <f>IFERROR(__xludf.DUMMYFUNCTION("GOOGLETRANSLATE($B416, $A$2, $B$2)"),"7 days ago")</f>
        <v>7 days ago</v>
      </c>
      <c r="D416" s="7" t="s">
        <v>1203</v>
      </c>
      <c r="E416" s="7" t="s">
        <v>1204</v>
      </c>
      <c r="F416" s="7" t="s">
        <v>1205</v>
      </c>
      <c r="G416" s="7" t="s">
        <v>260</v>
      </c>
      <c r="H416" s="7" t="s">
        <v>261</v>
      </c>
      <c r="I416" s="7" t="s">
        <v>261</v>
      </c>
      <c r="J416" s="7" t="str">
        <f>IFERROR(__xludf.DUMMYFUNCTION("GOOGLETRANSLATE($I416, ""de"", ""en"")"),"NO SALARY DATA")</f>
        <v>NO SALARY DATA</v>
      </c>
      <c r="K416" s="7" t="s">
        <v>261</v>
      </c>
      <c r="L416" s="7" t="s">
        <v>327</v>
      </c>
      <c r="M416" s="7" t="s">
        <v>263</v>
      </c>
      <c r="N416" s="7" t="s">
        <v>260</v>
      </c>
      <c r="O416" s="7"/>
      <c r="P416" s="37"/>
      <c r="Q416" s="7"/>
    </row>
    <row r="417">
      <c r="A417" s="7">
        <v>412.0</v>
      </c>
      <c r="B417" s="7" t="s">
        <v>637</v>
      </c>
      <c r="C417" s="7" t="str">
        <f>IFERROR(__xludf.DUMMYFUNCTION("GOOGLETRANSLATE($B417, $A$2, $B$2)"),"17 days ago")</f>
        <v>17 days ago</v>
      </c>
      <c r="D417" s="7" t="s">
        <v>1206</v>
      </c>
      <c r="E417" s="7" t="s">
        <v>372</v>
      </c>
      <c r="F417" s="7" t="s">
        <v>1207</v>
      </c>
      <c r="G417" s="7" t="s">
        <v>260</v>
      </c>
      <c r="H417" s="7" t="s">
        <v>261</v>
      </c>
      <c r="I417" s="7" t="s">
        <v>261</v>
      </c>
      <c r="J417" s="7" t="str">
        <f>IFERROR(__xludf.DUMMYFUNCTION("GOOGLETRANSLATE($I417, ""de"", ""en"")"),"NO SALARY DATA")</f>
        <v>NO SALARY DATA</v>
      </c>
      <c r="K417" s="7" t="s">
        <v>261</v>
      </c>
      <c r="L417" s="7" t="s">
        <v>531</v>
      </c>
      <c r="M417" s="7" t="s">
        <v>263</v>
      </c>
      <c r="N417" s="7" t="s">
        <v>260</v>
      </c>
      <c r="O417" s="7"/>
      <c r="P417" s="35"/>
      <c r="Q417" s="7"/>
    </row>
    <row r="418">
      <c r="A418" s="7">
        <v>413.0</v>
      </c>
      <c r="B418" s="7" t="s">
        <v>265</v>
      </c>
      <c r="C418" s="7" t="str">
        <f>IFERROR(__xludf.DUMMYFUNCTION("GOOGLETRANSLATE($B418, $A$2, $B$2)"),"More than 30 days ago")</f>
        <v>More than 30 days ago</v>
      </c>
      <c r="D418" s="7" t="s">
        <v>1208</v>
      </c>
      <c r="E418" s="7" t="s">
        <v>1209</v>
      </c>
      <c r="F418" s="7" t="s">
        <v>1210</v>
      </c>
      <c r="G418" s="7" t="s">
        <v>260</v>
      </c>
      <c r="H418" s="7" t="s">
        <v>261</v>
      </c>
      <c r="I418" s="7" t="s">
        <v>261</v>
      </c>
      <c r="J418" s="7" t="str">
        <f>IFERROR(__xludf.DUMMYFUNCTION("GOOGLETRANSLATE($I418, ""de"", ""en"")"),"NO SALARY DATA")</f>
        <v>NO SALARY DATA</v>
      </c>
      <c r="K418" s="7" t="s">
        <v>261</v>
      </c>
      <c r="L418" s="7" t="s">
        <v>445</v>
      </c>
      <c r="M418" s="7" t="s">
        <v>263</v>
      </c>
      <c r="N418" s="7" t="s">
        <v>944</v>
      </c>
      <c r="O418" s="7"/>
      <c r="P418" s="37"/>
      <c r="Q418" s="7"/>
    </row>
    <row r="419">
      <c r="A419" s="7">
        <v>414.0</v>
      </c>
      <c r="B419" s="7" t="s">
        <v>379</v>
      </c>
      <c r="C419" s="7" t="str">
        <f>IFERROR(__xludf.DUMMYFUNCTION("GOOGLETRANSLATE($B419, $A$2, $B$2)"),"13 days ago")</f>
        <v>13 days ago</v>
      </c>
      <c r="D419" s="7" t="s">
        <v>706</v>
      </c>
      <c r="E419" s="7" t="s">
        <v>401</v>
      </c>
      <c r="F419" s="7" t="s">
        <v>1099</v>
      </c>
      <c r="G419" s="7" t="s">
        <v>260</v>
      </c>
      <c r="H419" s="7" t="s">
        <v>261</v>
      </c>
      <c r="I419" s="7" t="s">
        <v>261</v>
      </c>
      <c r="J419" s="7" t="str">
        <f>IFERROR(__xludf.DUMMYFUNCTION("GOOGLETRANSLATE($I419, ""de"", ""en"")"),"NO SALARY DATA")</f>
        <v>NO SALARY DATA</v>
      </c>
      <c r="K419" s="7" t="s">
        <v>261</v>
      </c>
      <c r="L419" s="7" t="s">
        <v>327</v>
      </c>
      <c r="M419" s="7" t="s">
        <v>263</v>
      </c>
      <c r="N419" s="7" t="s">
        <v>260</v>
      </c>
      <c r="O419" s="7"/>
      <c r="P419" s="35"/>
      <c r="Q419" s="7"/>
    </row>
    <row r="420">
      <c r="A420" s="7">
        <v>415.0</v>
      </c>
      <c r="B420" s="7" t="s">
        <v>265</v>
      </c>
      <c r="C420" s="7" t="str">
        <f>IFERROR(__xludf.DUMMYFUNCTION("GOOGLETRANSLATE($B420, $A$2, $B$2)"),"More than 30 days ago")</f>
        <v>More than 30 days ago</v>
      </c>
      <c r="D420" s="7" t="s">
        <v>1211</v>
      </c>
      <c r="E420" s="7" t="s">
        <v>1084</v>
      </c>
      <c r="F420" s="7" t="s">
        <v>607</v>
      </c>
      <c r="G420" s="7" t="s">
        <v>260</v>
      </c>
      <c r="H420" s="7" t="s">
        <v>261</v>
      </c>
      <c r="I420" s="7" t="s">
        <v>261</v>
      </c>
      <c r="J420" s="7" t="str">
        <f>IFERROR(__xludf.DUMMYFUNCTION("GOOGLETRANSLATE($I420, ""de"", ""en"")"),"NO SALARY DATA")</f>
        <v>NO SALARY DATA</v>
      </c>
      <c r="K420" s="7" t="s">
        <v>261</v>
      </c>
      <c r="L420" s="7" t="s">
        <v>558</v>
      </c>
      <c r="M420" s="7" t="s">
        <v>263</v>
      </c>
      <c r="N420" s="7" t="s">
        <v>399</v>
      </c>
      <c r="O420" s="7"/>
      <c r="P420" s="35"/>
      <c r="Q420" s="7"/>
    </row>
    <row r="421">
      <c r="A421" s="7">
        <v>416.0</v>
      </c>
      <c r="B421" s="7" t="s">
        <v>265</v>
      </c>
      <c r="C421" s="7" t="str">
        <f>IFERROR(__xludf.DUMMYFUNCTION("GOOGLETRANSLATE($B421, $A$2, $B$2)"),"More than 30 days ago")</f>
        <v>More than 30 days ago</v>
      </c>
      <c r="D421" s="7" t="s">
        <v>1040</v>
      </c>
      <c r="E421" s="7" t="s">
        <v>271</v>
      </c>
      <c r="F421" s="7" t="s">
        <v>1041</v>
      </c>
      <c r="G421" s="7" t="s">
        <v>260</v>
      </c>
      <c r="H421" s="7" t="s">
        <v>261</v>
      </c>
      <c r="I421" s="7" t="s">
        <v>261</v>
      </c>
      <c r="J421" s="7" t="str">
        <f>IFERROR(__xludf.DUMMYFUNCTION("GOOGLETRANSLATE($I421, ""de"", ""en"")"),"NO SALARY DATA")</f>
        <v>NO SALARY DATA</v>
      </c>
      <c r="K421" s="7" t="s">
        <v>261</v>
      </c>
      <c r="L421" s="7" t="s">
        <v>1042</v>
      </c>
      <c r="M421" s="7" t="s">
        <v>274</v>
      </c>
      <c r="N421" s="7" t="s">
        <v>819</v>
      </c>
      <c r="O421" s="7"/>
      <c r="P421" s="37"/>
      <c r="Q421" s="7"/>
    </row>
    <row r="422">
      <c r="A422" s="7">
        <v>417.0</v>
      </c>
      <c r="B422" s="7" t="s">
        <v>265</v>
      </c>
      <c r="C422" s="7" t="str">
        <f>IFERROR(__xludf.DUMMYFUNCTION("GOOGLETRANSLATE($B422, $A$2, $B$2)"),"More than 30 days ago")</f>
        <v>More than 30 days ago</v>
      </c>
      <c r="D422" s="7" t="s">
        <v>647</v>
      </c>
      <c r="E422" s="7" t="s">
        <v>488</v>
      </c>
      <c r="F422" s="7" t="s">
        <v>1212</v>
      </c>
      <c r="G422" s="7" t="s">
        <v>260</v>
      </c>
      <c r="H422" s="7" t="s">
        <v>261</v>
      </c>
      <c r="I422" s="7" t="s">
        <v>261</v>
      </c>
      <c r="J422" s="7" t="str">
        <f>IFERROR(__xludf.DUMMYFUNCTION("GOOGLETRANSLATE($I422, ""de"", ""en"")"),"NO SALARY DATA")</f>
        <v>NO SALARY DATA</v>
      </c>
      <c r="K422" s="7" t="s">
        <v>261</v>
      </c>
      <c r="L422" s="7"/>
      <c r="M422" s="7" t="s">
        <v>263</v>
      </c>
      <c r="N422" s="7" t="s">
        <v>260</v>
      </c>
      <c r="O422" s="7"/>
      <c r="P422" s="35"/>
      <c r="Q422" s="7"/>
    </row>
    <row r="423">
      <c r="A423" s="7">
        <v>418.0</v>
      </c>
      <c r="B423" s="7" t="s">
        <v>265</v>
      </c>
      <c r="C423" s="7" t="str">
        <f>IFERROR(__xludf.DUMMYFUNCTION("GOOGLETRANSLATE($B423, $A$2, $B$2)"),"More than 30 days ago")</f>
        <v>More than 30 days ago</v>
      </c>
      <c r="D423" s="7" t="s">
        <v>306</v>
      </c>
      <c r="E423" s="7" t="s">
        <v>1100</v>
      </c>
      <c r="F423" s="7" t="s">
        <v>1101</v>
      </c>
      <c r="G423" s="7" t="s">
        <v>260</v>
      </c>
      <c r="H423" s="7" t="s">
        <v>261</v>
      </c>
      <c r="I423" s="7" t="s">
        <v>261</v>
      </c>
      <c r="J423" s="7" t="str">
        <f>IFERROR(__xludf.DUMMYFUNCTION("GOOGLETRANSLATE($I423, ""de"", ""en"")"),"NO SALARY DATA")</f>
        <v>NO SALARY DATA</v>
      </c>
      <c r="K423" s="7" t="s">
        <v>261</v>
      </c>
      <c r="L423" s="7" t="s">
        <v>318</v>
      </c>
      <c r="M423" s="7" t="s">
        <v>263</v>
      </c>
      <c r="N423" s="7" t="s">
        <v>420</v>
      </c>
      <c r="O423" s="7"/>
      <c r="P423" s="37"/>
      <c r="Q423" s="7"/>
    </row>
    <row r="424">
      <c r="A424" s="7">
        <v>419.0</v>
      </c>
      <c r="B424" s="7" t="s">
        <v>469</v>
      </c>
      <c r="C424" s="7" t="str">
        <f>IFERROR(__xludf.DUMMYFUNCTION("GOOGLETRANSLATE($B424, $A$2, $B$2)"),"19 days ago")</f>
        <v>19 days ago</v>
      </c>
      <c r="D424" s="7" t="s">
        <v>1213</v>
      </c>
      <c r="E424" s="7" t="s">
        <v>683</v>
      </c>
      <c r="F424" s="7" t="s">
        <v>1214</v>
      </c>
      <c r="G424" s="7" t="s">
        <v>260</v>
      </c>
      <c r="H424" s="7" t="s">
        <v>261</v>
      </c>
      <c r="I424" s="7" t="s">
        <v>261</v>
      </c>
      <c r="J424" s="7" t="str">
        <f>IFERROR(__xludf.DUMMYFUNCTION("GOOGLETRANSLATE($I424, ""de"", ""en"")"),"NO SALARY DATA")</f>
        <v>NO SALARY DATA</v>
      </c>
      <c r="K424" s="7" t="s">
        <v>261</v>
      </c>
      <c r="L424" s="7" t="s">
        <v>1215</v>
      </c>
      <c r="M424" s="7" t="s">
        <v>263</v>
      </c>
      <c r="N424" s="7" t="s">
        <v>260</v>
      </c>
      <c r="O424" s="7"/>
      <c r="P424" s="35"/>
      <c r="Q424" s="7"/>
    </row>
    <row r="425">
      <c r="A425" s="7">
        <v>420.0</v>
      </c>
      <c r="B425" s="7" t="s">
        <v>265</v>
      </c>
      <c r="C425" s="7" t="str">
        <f>IFERROR(__xludf.DUMMYFUNCTION("GOOGLETRANSLATE($B425, $A$2, $B$2)"),"More than 30 days ago")</f>
        <v>More than 30 days ago</v>
      </c>
      <c r="D425" s="7" t="s">
        <v>685</v>
      </c>
      <c r="E425" s="7" t="s">
        <v>280</v>
      </c>
      <c r="F425" s="7" t="s">
        <v>1014</v>
      </c>
      <c r="G425" s="7" t="s">
        <v>260</v>
      </c>
      <c r="H425" s="7" t="s">
        <v>261</v>
      </c>
      <c r="I425" s="7" t="s">
        <v>261</v>
      </c>
      <c r="J425" s="7" t="str">
        <f>IFERROR(__xludf.DUMMYFUNCTION("GOOGLETRANSLATE($I425, ""de"", ""en"")"),"NO SALARY DATA")</f>
        <v>NO SALARY DATA</v>
      </c>
      <c r="K425" s="7" t="s">
        <v>261</v>
      </c>
      <c r="L425" s="7"/>
      <c r="M425" s="7" t="s">
        <v>263</v>
      </c>
      <c r="N425" s="7" t="s">
        <v>420</v>
      </c>
      <c r="O425" s="7"/>
      <c r="P425" s="37"/>
      <c r="Q425" s="7"/>
    </row>
    <row r="426">
      <c r="A426" s="7">
        <v>421.0</v>
      </c>
      <c r="B426" s="7" t="s">
        <v>265</v>
      </c>
      <c r="C426" s="7" t="str">
        <f>IFERROR(__xludf.DUMMYFUNCTION("GOOGLETRANSLATE($B426, $A$2, $B$2)"),"More than 30 days ago")</f>
        <v>More than 30 days ago</v>
      </c>
      <c r="D426" s="7" t="s">
        <v>276</v>
      </c>
      <c r="E426" s="7" t="s">
        <v>258</v>
      </c>
      <c r="F426" s="7" t="s">
        <v>277</v>
      </c>
      <c r="G426" s="7" t="s">
        <v>260</v>
      </c>
      <c r="H426" s="7" t="s">
        <v>261</v>
      </c>
      <c r="I426" s="7" t="s">
        <v>261</v>
      </c>
      <c r="J426" s="7" t="str">
        <f>IFERROR(__xludf.DUMMYFUNCTION("GOOGLETRANSLATE($I426, ""de"", ""en"")"),"NO SALARY DATA")</f>
        <v>NO SALARY DATA</v>
      </c>
      <c r="K426" s="7" t="s">
        <v>261</v>
      </c>
      <c r="L426" s="7" t="s">
        <v>278</v>
      </c>
      <c r="M426" s="7" t="s">
        <v>274</v>
      </c>
      <c r="N426" s="7" t="s">
        <v>260</v>
      </c>
      <c r="O426" s="7"/>
      <c r="P426" s="35"/>
      <c r="Q426" s="7"/>
    </row>
    <row r="427">
      <c r="A427" s="7">
        <v>422.0</v>
      </c>
      <c r="B427" s="7" t="s">
        <v>265</v>
      </c>
      <c r="C427" s="7" t="str">
        <f>IFERROR(__xludf.DUMMYFUNCTION("GOOGLETRANSLATE($B427, $A$2, $B$2)"),"More than 30 days ago")</f>
        <v>More than 30 days ago</v>
      </c>
      <c r="D427" s="7" t="s">
        <v>1216</v>
      </c>
      <c r="E427" s="7" t="s">
        <v>258</v>
      </c>
      <c r="F427" s="7" t="s">
        <v>1217</v>
      </c>
      <c r="G427" s="7" t="s">
        <v>260</v>
      </c>
      <c r="H427" s="7" t="s">
        <v>261</v>
      </c>
      <c r="I427" s="7" t="s">
        <v>261</v>
      </c>
      <c r="J427" s="7" t="str">
        <f>IFERROR(__xludf.DUMMYFUNCTION("GOOGLETRANSLATE($I427, ""de"", ""en"")"),"NO SALARY DATA")</f>
        <v>NO SALARY DATA</v>
      </c>
      <c r="K427" s="7" t="s">
        <v>261</v>
      </c>
      <c r="L427" s="7" t="s">
        <v>282</v>
      </c>
      <c r="M427" s="7" t="s">
        <v>263</v>
      </c>
      <c r="N427" s="7" t="s">
        <v>725</v>
      </c>
      <c r="O427" s="7"/>
      <c r="P427" s="35"/>
      <c r="Q427" s="7"/>
    </row>
    <row r="428">
      <c r="A428" s="7">
        <v>423.0</v>
      </c>
      <c r="B428" s="7" t="s">
        <v>379</v>
      </c>
      <c r="C428" s="7" t="str">
        <f>IFERROR(__xludf.DUMMYFUNCTION("GOOGLETRANSLATE($B428, $A$2, $B$2)"),"13 days ago")</f>
        <v>13 days ago</v>
      </c>
      <c r="D428" s="7" t="s">
        <v>1218</v>
      </c>
      <c r="E428" s="7" t="s">
        <v>1219</v>
      </c>
      <c r="F428" s="7" t="s">
        <v>1220</v>
      </c>
      <c r="G428" s="7" t="s">
        <v>260</v>
      </c>
      <c r="H428" s="7" t="s">
        <v>261</v>
      </c>
      <c r="I428" s="7" t="s">
        <v>261</v>
      </c>
      <c r="J428" s="7" t="str">
        <f>IFERROR(__xludf.DUMMYFUNCTION("GOOGLETRANSLATE($I428, ""de"", ""en"")"),"NO SALARY DATA")</f>
        <v>NO SALARY DATA</v>
      </c>
      <c r="K428" s="7" t="s">
        <v>261</v>
      </c>
      <c r="L428" s="7"/>
      <c r="M428" s="7" t="s">
        <v>263</v>
      </c>
      <c r="N428" s="7" t="s">
        <v>420</v>
      </c>
      <c r="O428" s="7"/>
      <c r="P428" s="37"/>
      <c r="Q428" s="7"/>
    </row>
    <row r="429">
      <c r="A429" s="7">
        <v>424.0</v>
      </c>
      <c r="B429" s="7" t="s">
        <v>256</v>
      </c>
      <c r="C429" s="7" t="str">
        <f>IFERROR(__xludf.DUMMYFUNCTION("GOOGLETRANSLATE($B429, $A$2, $B$2)"),"7 days ago")</f>
        <v>7 days ago</v>
      </c>
      <c r="D429" s="7" t="s">
        <v>1221</v>
      </c>
      <c r="E429" s="7" t="s">
        <v>858</v>
      </c>
      <c r="F429" s="7" t="s">
        <v>1222</v>
      </c>
      <c r="G429" s="7" t="s">
        <v>260</v>
      </c>
      <c r="H429" s="7" t="s">
        <v>261</v>
      </c>
      <c r="I429" s="7" t="s">
        <v>261</v>
      </c>
      <c r="J429" s="7" t="str">
        <f>IFERROR(__xludf.DUMMYFUNCTION("GOOGLETRANSLATE($I429, ""de"", ""en"")"),"NO SALARY DATA")</f>
        <v>NO SALARY DATA</v>
      </c>
      <c r="K429" s="7" t="s">
        <v>261</v>
      </c>
      <c r="L429" s="7" t="s">
        <v>943</v>
      </c>
      <c r="M429" s="7" t="s">
        <v>287</v>
      </c>
      <c r="N429" s="7" t="s">
        <v>260</v>
      </c>
      <c r="O429" s="7"/>
      <c r="P429" s="37"/>
      <c r="Q429" s="7"/>
    </row>
    <row r="430">
      <c r="A430" s="7">
        <v>425.0</v>
      </c>
      <c r="B430" s="7" t="s">
        <v>508</v>
      </c>
      <c r="C430" s="7" t="str">
        <f>IFERROR(__xludf.DUMMYFUNCTION("GOOGLETRANSLATE($B430, $A$2, $B$2)"),"24 days ago")</f>
        <v>24 days ago</v>
      </c>
      <c r="D430" s="7" t="s">
        <v>997</v>
      </c>
      <c r="E430" s="7" t="s">
        <v>271</v>
      </c>
      <c r="F430" s="7" t="s">
        <v>998</v>
      </c>
      <c r="G430" s="7" t="s">
        <v>260</v>
      </c>
      <c r="H430" s="7" t="s">
        <v>261</v>
      </c>
      <c r="I430" s="7" t="s">
        <v>261</v>
      </c>
      <c r="J430" s="7" t="str">
        <f>IFERROR(__xludf.DUMMYFUNCTION("GOOGLETRANSLATE($I430, ""de"", ""en"")"),"NO SALARY DATA")</f>
        <v>NO SALARY DATA</v>
      </c>
      <c r="K430" s="7" t="s">
        <v>261</v>
      </c>
      <c r="L430" s="7" t="s">
        <v>999</v>
      </c>
      <c r="M430" s="7" t="s">
        <v>452</v>
      </c>
      <c r="N430" s="7" t="s">
        <v>260</v>
      </c>
      <c r="O430" s="7"/>
      <c r="P430" s="37"/>
      <c r="Q430" s="7"/>
    </row>
    <row r="431">
      <c r="A431" s="7">
        <v>426.0</v>
      </c>
      <c r="B431" s="7" t="s">
        <v>265</v>
      </c>
      <c r="C431" s="7" t="str">
        <f>IFERROR(__xludf.DUMMYFUNCTION("GOOGLETRANSLATE($B431, $A$2, $B$2)"),"More than 30 days ago")</f>
        <v>More than 30 days ago</v>
      </c>
      <c r="D431" s="7" t="s">
        <v>306</v>
      </c>
      <c r="E431" s="7" t="s">
        <v>352</v>
      </c>
      <c r="F431" s="7" t="s">
        <v>1055</v>
      </c>
      <c r="G431" s="7" t="s">
        <v>260</v>
      </c>
      <c r="H431" s="7" t="s">
        <v>261</v>
      </c>
      <c r="I431" s="7" t="s">
        <v>261</v>
      </c>
      <c r="J431" s="7" t="str">
        <f>IFERROR(__xludf.DUMMYFUNCTION("GOOGLETRANSLATE($I431, ""de"", ""en"")"),"NO SALARY DATA")</f>
        <v>NO SALARY DATA</v>
      </c>
      <c r="K431" s="7" t="s">
        <v>261</v>
      </c>
      <c r="L431" s="7" t="s">
        <v>756</v>
      </c>
      <c r="M431" s="7" t="s">
        <v>263</v>
      </c>
      <c r="N431" s="7" t="s">
        <v>260</v>
      </c>
      <c r="O431" s="7"/>
      <c r="P431" s="35"/>
      <c r="Q431" s="7"/>
    </row>
    <row r="432">
      <c r="A432" s="7">
        <v>427.0</v>
      </c>
      <c r="B432" s="7" t="s">
        <v>288</v>
      </c>
      <c r="C432" s="7" t="str">
        <f>IFERROR(__xludf.DUMMYFUNCTION("GOOGLETRANSLATE($B432, $A$2, $B$2)"),"2 days ago")</f>
        <v>2 days ago</v>
      </c>
      <c r="D432" s="7" t="s">
        <v>1223</v>
      </c>
      <c r="E432" s="7" t="s">
        <v>298</v>
      </c>
      <c r="F432" s="7" t="s">
        <v>299</v>
      </c>
      <c r="G432" s="7" t="s">
        <v>260</v>
      </c>
      <c r="H432" s="7" t="s">
        <v>261</v>
      </c>
      <c r="I432" s="7" t="s">
        <v>261</v>
      </c>
      <c r="J432" s="7" t="str">
        <f>IFERROR(__xludf.DUMMYFUNCTION("GOOGLETRANSLATE($I432, ""de"", ""en"")"),"NO SALARY DATA")</f>
        <v>NO SALARY DATA</v>
      </c>
      <c r="K432" s="7" t="s">
        <v>261</v>
      </c>
      <c r="L432" s="7"/>
      <c r="M432" s="7" t="s">
        <v>263</v>
      </c>
      <c r="N432" s="7" t="s">
        <v>301</v>
      </c>
      <c r="O432" s="7"/>
      <c r="P432" s="37"/>
      <c r="Q432" s="7"/>
    </row>
    <row r="433">
      <c r="A433" s="7">
        <v>428.0</v>
      </c>
      <c r="B433" s="7" t="s">
        <v>265</v>
      </c>
      <c r="C433" s="7" t="str">
        <f>IFERROR(__xludf.DUMMYFUNCTION("GOOGLETRANSLATE($B433, $A$2, $B$2)"),"More than 30 days ago")</f>
        <v>More than 30 days ago</v>
      </c>
      <c r="D433" s="7" t="s">
        <v>1043</v>
      </c>
      <c r="E433" s="7" t="s">
        <v>1044</v>
      </c>
      <c r="F433" s="7" t="s">
        <v>1045</v>
      </c>
      <c r="G433" s="7" t="s">
        <v>260</v>
      </c>
      <c r="H433" s="7" t="s">
        <v>261</v>
      </c>
      <c r="I433" s="7" t="s">
        <v>261</v>
      </c>
      <c r="J433" s="7" t="str">
        <f>IFERROR(__xludf.DUMMYFUNCTION("GOOGLETRANSLATE($I433, ""de"", ""en"")"),"NO SALARY DATA")</f>
        <v>NO SALARY DATA</v>
      </c>
      <c r="K433" s="7" t="s">
        <v>261</v>
      </c>
      <c r="L433" s="7"/>
      <c r="M433" s="7" t="s">
        <v>263</v>
      </c>
      <c r="N433" s="7" t="s">
        <v>260</v>
      </c>
      <c r="O433" s="7"/>
      <c r="P433" s="37"/>
      <c r="Q433" s="7"/>
    </row>
    <row r="434">
      <c r="A434" s="7">
        <v>429.0</v>
      </c>
      <c r="B434" s="7" t="s">
        <v>375</v>
      </c>
      <c r="C434" s="7" t="str">
        <f>IFERROR(__xludf.DUMMYFUNCTION("GOOGLETRANSLATE($B434, $A$2, $B$2)"),"6 days ago")</f>
        <v>6 days ago</v>
      </c>
      <c r="D434" s="7" t="s">
        <v>1224</v>
      </c>
      <c r="E434" s="7" t="s">
        <v>348</v>
      </c>
      <c r="F434" s="7" t="s">
        <v>1225</v>
      </c>
      <c r="G434" s="7" t="s">
        <v>260</v>
      </c>
      <c r="H434" s="7" t="s">
        <v>261</v>
      </c>
      <c r="I434" s="7" t="s">
        <v>261</v>
      </c>
      <c r="J434" s="7" t="str">
        <f>IFERROR(__xludf.DUMMYFUNCTION("GOOGLETRANSLATE($I434, ""de"", ""en"")"),"NO SALARY DATA")</f>
        <v>NO SALARY DATA</v>
      </c>
      <c r="K434" s="7" t="s">
        <v>261</v>
      </c>
      <c r="L434" s="7" t="s">
        <v>980</v>
      </c>
      <c r="M434" s="7" t="s">
        <v>263</v>
      </c>
      <c r="N434" s="7" t="s">
        <v>260</v>
      </c>
      <c r="O434" s="7"/>
      <c r="P434" s="35"/>
      <c r="Q434" s="7"/>
    </row>
    <row r="435">
      <c r="A435" s="7">
        <v>430.0</v>
      </c>
      <c r="B435" s="7" t="s">
        <v>265</v>
      </c>
      <c r="C435" s="7" t="str">
        <f>IFERROR(__xludf.DUMMYFUNCTION("GOOGLETRANSLATE($B435, $A$2, $B$2)"),"More than 30 days ago")</f>
        <v>More than 30 days ago</v>
      </c>
      <c r="D435" s="7" t="s">
        <v>1226</v>
      </c>
      <c r="E435" s="7" t="s">
        <v>1227</v>
      </c>
      <c r="F435" s="7" t="s">
        <v>1228</v>
      </c>
      <c r="G435" s="7" t="s">
        <v>260</v>
      </c>
      <c r="H435" s="7" t="s">
        <v>261</v>
      </c>
      <c r="I435" s="7" t="s">
        <v>261</v>
      </c>
      <c r="J435" s="7" t="str">
        <f>IFERROR(__xludf.DUMMYFUNCTION("GOOGLETRANSLATE($I435, ""de"", ""en"")"),"NO SALARY DATA")</f>
        <v>NO SALARY DATA</v>
      </c>
      <c r="K435" s="7" t="s">
        <v>261</v>
      </c>
      <c r="L435" s="7" t="s">
        <v>527</v>
      </c>
      <c r="M435" s="7" t="s">
        <v>263</v>
      </c>
      <c r="N435" s="7" t="s">
        <v>340</v>
      </c>
      <c r="O435" s="7"/>
      <c r="P435" s="35"/>
      <c r="Q435" s="7"/>
    </row>
    <row r="436">
      <c r="A436" s="7">
        <v>431.0</v>
      </c>
      <c r="B436" s="7" t="s">
        <v>469</v>
      </c>
      <c r="C436" s="7" t="str">
        <f>IFERROR(__xludf.DUMMYFUNCTION("GOOGLETRANSLATE($B436, $A$2, $B$2)"),"19 days ago")</f>
        <v>19 days ago</v>
      </c>
      <c r="D436" s="7" t="s">
        <v>1229</v>
      </c>
      <c r="E436" s="7" t="s">
        <v>520</v>
      </c>
      <c r="F436" s="7" t="s">
        <v>1183</v>
      </c>
      <c r="G436" s="7" t="s">
        <v>260</v>
      </c>
      <c r="H436" s="7" t="s">
        <v>261</v>
      </c>
      <c r="I436" s="7" t="s">
        <v>261</v>
      </c>
      <c r="J436" s="7" t="str">
        <f>IFERROR(__xludf.DUMMYFUNCTION("GOOGLETRANSLATE($I436, ""de"", ""en"")"),"NO SALARY DATA")</f>
        <v>NO SALARY DATA</v>
      </c>
      <c r="K436" s="7" t="s">
        <v>261</v>
      </c>
      <c r="L436" s="7" t="s">
        <v>1230</v>
      </c>
      <c r="M436" s="7" t="s">
        <v>263</v>
      </c>
      <c r="N436" s="7" t="s">
        <v>704</v>
      </c>
      <c r="O436" s="7"/>
      <c r="P436" s="37"/>
      <c r="Q436" s="7"/>
    </row>
    <row r="437">
      <c r="A437" s="7">
        <v>432.0</v>
      </c>
      <c r="B437" s="7" t="s">
        <v>265</v>
      </c>
      <c r="C437" s="7" t="str">
        <f>IFERROR(__xludf.DUMMYFUNCTION("GOOGLETRANSLATE($B437, $A$2, $B$2)"),"More than 30 days ago")</f>
        <v>More than 30 days ago</v>
      </c>
      <c r="D437" s="7" t="s">
        <v>1231</v>
      </c>
      <c r="E437" s="7" t="s">
        <v>271</v>
      </c>
      <c r="F437" s="7" t="s">
        <v>1232</v>
      </c>
      <c r="G437" s="7" t="s">
        <v>260</v>
      </c>
      <c r="H437" s="7" t="s">
        <v>261</v>
      </c>
      <c r="I437" s="7" t="s">
        <v>261</v>
      </c>
      <c r="J437" s="7" t="str">
        <f>IFERROR(__xludf.DUMMYFUNCTION("GOOGLETRANSLATE($I437, ""de"", ""en"")"),"NO SALARY DATA")</f>
        <v>NO SALARY DATA</v>
      </c>
      <c r="K437" s="7" t="s">
        <v>261</v>
      </c>
      <c r="L437" s="7" t="s">
        <v>312</v>
      </c>
      <c r="M437" s="7" t="s">
        <v>263</v>
      </c>
      <c r="N437" s="7" t="s">
        <v>260</v>
      </c>
      <c r="O437" s="7"/>
      <c r="P437" s="37"/>
      <c r="Q437" s="7"/>
    </row>
    <row r="438">
      <c r="A438" s="7">
        <v>433.0</v>
      </c>
      <c r="B438" s="7" t="s">
        <v>265</v>
      </c>
      <c r="C438" s="7" t="str">
        <f>IFERROR(__xludf.DUMMYFUNCTION("GOOGLETRANSLATE($B438, $A$2, $B$2)"),"More than 30 days ago")</f>
        <v>More than 30 days ago</v>
      </c>
      <c r="D438" s="7" t="s">
        <v>1233</v>
      </c>
      <c r="E438" s="7" t="s">
        <v>343</v>
      </c>
      <c r="F438" s="7" t="s">
        <v>1234</v>
      </c>
      <c r="G438" s="7" t="s">
        <v>260</v>
      </c>
      <c r="H438" s="7" t="s">
        <v>261</v>
      </c>
      <c r="I438" s="7" t="s">
        <v>261</v>
      </c>
      <c r="J438" s="7" t="str">
        <f>IFERROR(__xludf.DUMMYFUNCTION("GOOGLETRANSLATE($I438, ""de"", ""en"")"),"NO SALARY DATA")</f>
        <v>NO SALARY DATA</v>
      </c>
      <c r="K438" s="7" t="s">
        <v>261</v>
      </c>
      <c r="L438" s="7" t="s">
        <v>441</v>
      </c>
      <c r="M438" s="7" t="s">
        <v>263</v>
      </c>
      <c r="N438" s="7" t="s">
        <v>260</v>
      </c>
      <c r="O438" s="7"/>
      <c r="P438" s="35"/>
      <c r="Q438" s="7"/>
    </row>
    <row r="439">
      <c r="A439" s="7">
        <v>434.0</v>
      </c>
      <c r="B439" s="7" t="s">
        <v>324</v>
      </c>
      <c r="C439" s="7" t="str">
        <f>IFERROR(__xludf.DUMMYFUNCTION("GOOGLETRANSLATE($B439, $A$2, $B$2)"),"3 days ago")</f>
        <v>3 days ago</v>
      </c>
      <c r="D439" s="7" t="s">
        <v>1235</v>
      </c>
      <c r="E439" s="7" t="s">
        <v>669</v>
      </c>
      <c r="F439" s="7" t="s">
        <v>763</v>
      </c>
      <c r="G439" s="7" t="s">
        <v>260</v>
      </c>
      <c r="H439" s="7" t="s">
        <v>261</v>
      </c>
      <c r="I439" s="7" t="s">
        <v>261</v>
      </c>
      <c r="J439" s="7" t="str">
        <f>IFERROR(__xludf.DUMMYFUNCTION("GOOGLETRANSLATE($I439, ""de"", ""en"")"),"NO SALARY DATA")</f>
        <v>NO SALARY DATA</v>
      </c>
      <c r="K439" s="7" t="s">
        <v>261</v>
      </c>
      <c r="L439" s="7"/>
      <c r="M439" s="7" t="s">
        <v>263</v>
      </c>
      <c r="N439" s="7" t="s">
        <v>434</v>
      </c>
      <c r="O439" s="7"/>
      <c r="P439" s="37"/>
      <c r="Q439" s="7"/>
    </row>
    <row r="440">
      <c r="A440" s="7">
        <v>435.0</v>
      </c>
      <c r="B440" s="7" t="s">
        <v>288</v>
      </c>
      <c r="C440" s="7" t="str">
        <f>IFERROR(__xludf.DUMMYFUNCTION("GOOGLETRANSLATE($B440, $A$2, $B$2)"),"2 days ago")</f>
        <v>2 days ago</v>
      </c>
      <c r="D440" s="7" t="s">
        <v>965</v>
      </c>
      <c r="E440" s="7" t="s">
        <v>271</v>
      </c>
      <c r="F440" s="7" t="s">
        <v>966</v>
      </c>
      <c r="G440" s="7" t="s">
        <v>260</v>
      </c>
      <c r="H440" s="7" t="s">
        <v>261</v>
      </c>
      <c r="I440" s="7" t="s">
        <v>261</v>
      </c>
      <c r="J440" s="7" t="str">
        <f>IFERROR(__xludf.DUMMYFUNCTION("GOOGLETRANSLATE($I440, ""de"", ""en"")"),"NO SALARY DATA")</f>
        <v>NO SALARY DATA</v>
      </c>
      <c r="K440" s="7" t="s">
        <v>261</v>
      </c>
      <c r="L440" s="7" t="s">
        <v>777</v>
      </c>
      <c r="M440" s="7" t="s">
        <v>263</v>
      </c>
      <c r="N440" s="7" t="s">
        <v>260</v>
      </c>
      <c r="O440" s="7"/>
      <c r="P440" s="37"/>
      <c r="Q440" s="7"/>
    </row>
    <row r="441">
      <c r="A441" s="7">
        <v>436.0</v>
      </c>
      <c r="B441" s="7" t="s">
        <v>392</v>
      </c>
      <c r="C441" s="7" t="str">
        <f>IFERROR(__xludf.DUMMYFUNCTION("GOOGLETRANSLATE($B441, $A$2, $B$2)"),"10 days ago")</f>
        <v>10 days ago</v>
      </c>
      <c r="D441" s="7" t="s">
        <v>1236</v>
      </c>
      <c r="E441" s="7" t="s">
        <v>539</v>
      </c>
      <c r="F441" s="7" t="s">
        <v>1237</v>
      </c>
      <c r="G441" s="7" t="s">
        <v>260</v>
      </c>
      <c r="H441" s="7" t="s">
        <v>261</v>
      </c>
      <c r="I441" s="7" t="s">
        <v>261</v>
      </c>
      <c r="J441" s="7" t="str">
        <f>IFERROR(__xludf.DUMMYFUNCTION("GOOGLETRANSLATE($I441, ""de"", ""en"")"),"NO SALARY DATA")</f>
        <v>NO SALARY DATA</v>
      </c>
      <c r="K441" s="7" t="s">
        <v>261</v>
      </c>
      <c r="L441" s="7" t="s">
        <v>441</v>
      </c>
      <c r="M441" s="7" t="s">
        <v>263</v>
      </c>
      <c r="N441" s="7" t="s">
        <v>260</v>
      </c>
      <c r="O441" s="7"/>
      <c r="P441" s="37"/>
      <c r="Q441" s="7"/>
    </row>
    <row r="442">
      <c r="A442" s="7">
        <v>437.0</v>
      </c>
      <c r="B442" s="7" t="s">
        <v>392</v>
      </c>
      <c r="C442" s="7" t="str">
        <f>IFERROR(__xludf.DUMMYFUNCTION("GOOGLETRANSLATE($B442, $A$2, $B$2)"),"10 days ago")</f>
        <v>10 days ago</v>
      </c>
      <c r="D442" s="7" t="s">
        <v>1238</v>
      </c>
      <c r="E442" s="7" t="s">
        <v>601</v>
      </c>
      <c r="F442" s="7" t="s">
        <v>602</v>
      </c>
      <c r="G442" s="7" t="s">
        <v>260</v>
      </c>
      <c r="H442" s="7" t="s">
        <v>261</v>
      </c>
      <c r="I442" s="7" t="s">
        <v>261</v>
      </c>
      <c r="J442" s="7" t="str">
        <f>IFERROR(__xludf.DUMMYFUNCTION("GOOGLETRANSLATE($I442, ""de"", ""en"")"),"NO SALARY DATA")</f>
        <v>NO SALARY DATA</v>
      </c>
      <c r="K442" s="7" t="s">
        <v>261</v>
      </c>
      <c r="L442" s="7" t="s">
        <v>562</v>
      </c>
      <c r="M442" s="7" t="s">
        <v>263</v>
      </c>
      <c r="N442" s="7" t="s">
        <v>260</v>
      </c>
      <c r="O442" s="7"/>
      <c r="P442" s="37"/>
      <c r="Q442" s="7"/>
    </row>
    <row r="443">
      <c r="A443" s="7">
        <v>438.0</v>
      </c>
      <c r="B443" s="7" t="s">
        <v>265</v>
      </c>
      <c r="C443" s="7" t="str">
        <f>IFERROR(__xludf.DUMMYFUNCTION("GOOGLETRANSLATE($B443, $A$2, $B$2)"),"More than 30 days ago")</f>
        <v>More than 30 days ago</v>
      </c>
      <c r="D443" s="7" t="s">
        <v>668</v>
      </c>
      <c r="E443" s="7" t="s">
        <v>258</v>
      </c>
      <c r="F443" s="7" t="s">
        <v>880</v>
      </c>
      <c r="G443" s="7" t="s">
        <v>260</v>
      </c>
      <c r="H443" s="7" t="s">
        <v>261</v>
      </c>
      <c r="I443" s="7" t="s">
        <v>261</v>
      </c>
      <c r="J443" s="7" t="str">
        <f>IFERROR(__xludf.DUMMYFUNCTION("GOOGLETRANSLATE($I443, ""de"", ""en"")"),"NO SALARY DATA")</f>
        <v>NO SALARY DATA</v>
      </c>
      <c r="K443" s="7" t="s">
        <v>261</v>
      </c>
      <c r="L443" s="7" t="s">
        <v>425</v>
      </c>
      <c r="M443" s="7" t="s">
        <v>263</v>
      </c>
      <c r="N443" s="7" t="s">
        <v>260</v>
      </c>
      <c r="O443" s="7"/>
      <c r="P443" s="35"/>
      <c r="Q443" s="7"/>
    </row>
    <row r="444">
      <c r="A444" s="7">
        <v>439.0</v>
      </c>
      <c r="B444" s="7" t="s">
        <v>265</v>
      </c>
      <c r="C444" s="7" t="str">
        <f>IFERROR(__xludf.DUMMYFUNCTION("GOOGLETRANSLATE($B444, $A$2, $B$2)"),"More than 30 days ago")</f>
        <v>More than 30 days ago</v>
      </c>
      <c r="D444" s="7" t="s">
        <v>1239</v>
      </c>
      <c r="E444" s="7" t="s">
        <v>271</v>
      </c>
      <c r="F444" s="7" t="s">
        <v>1168</v>
      </c>
      <c r="G444" s="7" t="s">
        <v>260</v>
      </c>
      <c r="H444" s="7" t="s">
        <v>261</v>
      </c>
      <c r="I444" s="7" t="s">
        <v>261</v>
      </c>
      <c r="J444" s="7" t="str">
        <f>IFERROR(__xludf.DUMMYFUNCTION("GOOGLETRANSLATE($I444, ""de"", ""en"")"),"NO SALARY DATA")</f>
        <v>NO SALARY DATA</v>
      </c>
      <c r="K444" s="7" t="s">
        <v>261</v>
      </c>
      <c r="L444" s="7"/>
      <c r="M444" s="7" t="s">
        <v>263</v>
      </c>
      <c r="N444" s="7" t="s">
        <v>1169</v>
      </c>
      <c r="O444" s="7"/>
      <c r="P444" s="37"/>
      <c r="Q444" s="7"/>
    </row>
    <row r="445">
      <c r="A445" s="7">
        <v>440.0</v>
      </c>
      <c r="B445" s="7" t="s">
        <v>379</v>
      </c>
      <c r="C445" s="7" t="str">
        <f>IFERROR(__xludf.DUMMYFUNCTION("GOOGLETRANSLATE($B445, $A$2, $B$2)"),"13 days ago")</f>
        <v>13 days ago</v>
      </c>
      <c r="D445" s="7" t="s">
        <v>762</v>
      </c>
      <c r="E445" s="7" t="s">
        <v>439</v>
      </c>
      <c r="F445" s="7" t="s">
        <v>1240</v>
      </c>
      <c r="G445" s="7" t="s">
        <v>260</v>
      </c>
      <c r="H445" s="7" t="s">
        <v>261</v>
      </c>
      <c r="I445" s="7" t="s">
        <v>261</v>
      </c>
      <c r="J445" s="7" t="str">
        <f>IFERROR(__xludf.DUMMYFUNCTION("GOOGLETRANSLATE($I445, ""de"", ""en"")"),"NO SALARY DATA")</f>
        <v>NO SALARY DATA</v>
      </c>
      <c r="K445" s="7" t="s">
        <v>261</v>
      </c>
      <c r="L445" s="7" t="s">
        <v>558</v>
      </c>
      <c r="M445" s="7" t="s">
        <v>263</v>
      </c>
      <c r="N445" s="7" t="s">
        <v>260</v>
      </c>
      <c r="O445" s="7"/>
      <c r="P445" s="37"/>
      <c r="Q445" s="7"/>
    </row>
    <row r="446">
      <c r="A446" s="7">
        <v>441.0</v>
      </c>
      <c r="B446" s="7" t="s">
        <v>341</v>
      </c>
      <c r="C446" s="7" t="str">
        <f>IFERROR(__xludf.DUMMYFUNCTION("GOOGLETRANSLATE($B446, $A$2, $B$2)"),"before 14 days")</f>
        <v>before 14 days</v>
      </c>
      <c r="D446" s="7" t="s">
        <v>328</v>
      </c>
      <c r="E446" s="7" t="s">
        <v>1241</v>
      </c>
      <c r="F446" s="7" t="s">
        <v>1242</v>
      </c>
      <c r="G446" s="7" t="s">
        <v>260</v>
      </c>
      <c r="H446" s="7" t="s">
        <v>261</v>
      </c>
      <c r="I446" s="7" t="s">
        <v>261</v>
      </c>
      <c r="J446" s="7" t="str">
        <f>IFERROR(__xludf.DUMMYFUNCTION("GOOGLETRANSLATE($I446, ""de"", ""en"")"),"NO SALARY DATA")</f>
        <v>NO SALARY DATA</v>
      </c>
      <c r="K446" s="7" t="s">
        <v>261</v>
      </c>
      <c r="L446" s="7" t="s">
        <v>991</v>
      </c>
      <c r="M446" s="7" t="s">
        <v>263</v>
      </c>
      <c r="N446" s="7" t="s">
        <v>260</v>
      </c>
      <c r="O446" s="7"/>
      <c r="P446" s="37"/>
      <c r="Q446" s="7"/>
    </row>
    <row r="447">
      <c r="A447" s="7">
        <v>442.0</v>
      </c>
      <c r="B447" s="7" t="s">
        <v>265</v>
      </c>
      <c r="C447" s="7" t="str">
        <f>IFERROR(__xludf.DUMMYFUNCTION("GOOGLETRANSLATE($B447, $A$2, $B$2)"),"More than 30 days ago")</f>
        <v>More than 30 days ago</v>
      </c>
      <c r="D447" s="7" t="s">
        <v>1243</v>
      </c>
      <c r="E447" s="7" t="s">
        <v>258</v>
      </c>
      <c r="F447" s="7" t="s">
        <v>1244</v>
      </c>
      <c r="G447" s="7" t="s">
        <v>260</v>
      </c>
      <c r="H447" s="7" t="s">
        <v>261</v>
      </c>
      <c r="I447" s="7" t="s">
        <v>261</v>
      </c>
      <c r="J447" s="7" t="str">
        <f>IFERROR(__xludf.DUMMYFUNCTION("GOOGLETRANSLATE($I447, ""de"", ""en"")"),"NO SALARY DATA")</f>
        <v>NO SALARY DATA</v>
      </c>
      <c r="K447" s="7" t="s">
        <v>261</v>
      </c>
      <c r="L447" s="7" t="s">
        <v>455</v>
      </c>
      <c r="M447" s="7" t="s">
        <v>263</v>
      </c>
      <c r="N447" s="7" t="s">
        <v>260</v>
      </c>
      <c r="O447" s="7"/>
      <c r="P447" s="37"/>
      <c r="Q447" s="7"/>
    </row>
    <row r="448">
      <c r="A448" s="7">
        <v>443.0</v>
      </c>
      <c r="B448" s="7" t="s">
        <v>346</v>
      </c>
      <c r="C448" s="7" t="str">
        <f>IFERROR(__xludf.DUMMYFUNCTION("GOOGLETRANSLATE($B448, $A$2, $B$2)"),"12 days ago")</f>
        <v>12 days ago</v>
      </c>
      <c r="D448" s="7" t="s">
        <v>1081</v>
      </c>
      <c r="E448" s="7" t="s">
        <v>258</v>
      </c>
      <c r="F448" s="7" t="s">
        <v>1082</v>
      </c>
      <c r="G448" s="7" t="s">
        <v>260</v>
      </c>
      <c r="H448" s="7" t="s">
        <v>261</v>
      </c>
      <c r="I448" s="7" t="s">
        <v>261</v>
      </c>
      <c r="J448" s="7" t="str">
        <f>IFERROR(__xludf.DUMMYFUNCTION("GOOGLETRANSLATE($I448, ""de"", ""en"")"),"NO SALARY DATA")</f>
        <v>NO SALARY DATA</v>
      </c>
      <c r="K448" s="7" t="s">
        <v>261</v>
      </c>
      <c r="L448" s="7" t="s">
        <v>527</v>
      </c>
      <c r="M448" s="7" t="s">
        <v>263</v>
      </c>
      <c r="N448" s="7" t="s">
        <v>260</v>
      </c>
      <c r="O448" s="7"/>
      <c r="P448" s="35"/>
      <c r="Q448" s="7"/>
    </row>
    <row r="449">
      <c r="A449" s="7">
        <v>444.0</v>
      </c>
      <c r="B449" s="7" t="s">
        <v>469</v>
      </c>
      <c r="C449" s="7" t="str">
        <f>IFERROR(__xludf.DUMMYFUNCTION("GOOGLETRANSLATE($B449, $A$2, $B$2)"),"19 days ago")</f>
        <v>19 days ago</v>
      </c>
      <c r="D449" s="7" t="s">
        <v>1139</v>
      </c>
      <c r="E449" s="7" t="s">
        <v>1140</v>
      </c>
      <c r="F449" s="7" t="s">
        <v>1141</v>
      </c>
      <c r="G449" s="7" t="s">
        <v>260</v>
      </c>
      <c r="H449" s="7" t="s">
        <v>261</v>
      </c>
      <c r="I449" s="7" t="s">
        <v>261</v>
      </c>
      <c r="J449" s="7" t="str">
        <f>IFERROR(__xludf.DUMMYFUNCTION("GOOGLETRANSLATE($I449, ""de"", ""en"")"),"NO SALARY DATA")</f>
        <v>NO SALARY DATA</v>
      </c>
      <c r="K449" s="7" t="s">
        <v>261</v>
      </c>
      <c r="L449" s="7" t="s">
        <v>721</v>
      </c>
      <c r="M449" s="7" t="s">
        <v>263</v>
      </c>
      <c r="N449" s="7" t="s">
        <v>301</v>
      </c>
      <c r="O449" s="7"/>
      <c r="P449" s="35"/>
      <c r="Q449" s="7"/>
    </row>
    <row r="450">
      <c r="A450" s="7">
        <v>445.0</v>
      </c>
      <c r="B450" s="7" t="s">
        <v>559</v>
      </c>
      <c r="C450" s="7" t="str">
        <f>IFERROR(__xludf.DUMMYFUNCTION("GOOGLETRANSLATE($B450, $A$2, $B$2)"),"18 days ago")</f>
        <v>18 days ago</v>
      </c>
      <c r="D450" s="7" t="s">
        <v>1070</v>
      </c>
      <c r="E450" s="7" t="s">
        <v>629</v>
      </c>
      <c r="F450" s="7" t="s">
        <v>1071</v>
      </c>
      <c r="G450" s="7" t="s">
        <v>260</v>
      </c>
      <c r="H450" s="7" t="s">
        <v>261</v>
      </c>
      <c r="I450" s="7" t="s">
        <v>261</v>
      </c>
      <c r="J450" s="7" t="str">
        <f>IFERROR(__xludf.DUMMYFUNCTION("GOOGLETRANSLATE($I450, ""de"", ""en"")"),"NO SALARY DATA")</f>
        <v>NO SALARY DATA</v>
      </c>
      <c r="K450" s="7" t="s">
        <v>261</v>
      </c>
      <c r="L450" s="7" t="s">
        <v>312</v>
      </c>
      <c r="M450" s="7" t="s">
        <v>263</v>
      </c>
      <c r="N450" s="7" t="s">
        <v>532</v>
      </c>
      <c r="O450" s="7"/>
      <c r="P450" s="37"/>
      <c r="Q450" s="7"/>
    </row>
    <row r="451">
      <c r="A451" s="7">
        <v>446.0</v>
      </c>
      <c r="B451" s="7" t="s">
        <v>650</v>
      </c>
      <c r="C451" s="7" t="str">
        <f>IFERROR(__xludf.DUMMYFUNCTION("GOOGLETRANSLATE($B451, $A$2, $B$2)"),"16 days ago")</f>
        <v>16 days ago</v>
      </c>
      <c r="D451" s="7" t="s">
        <v>1245</v>
      </c>
      <c r="E451" s="7" t="s">
        <v>408</v>
      </c>
      <c r="F451" s="7" t="s">
        <v>1246</v>
      </c>
      <c r="G451" s="7" t="s">
        <v>260</v>
      </c>
      <c r="H451" s="7" t="s">
        <v>261</v>
      </c>
      <c r="I451" s="7" t="s">
        <v>261</v>
      </c>
      <c r="J451" s="7" t="str">
        <f>IFERROR(__xludf.DUMMYFUNCTION("GOOGLETRANSLATE($I451, ""de"", ""en"")"),"NO SALARY DATA")</f>
        <v>NO SALARY DATA</v>
      </c>
      <c r="K451" s="7" t="s">
        <v>261</v>
      </c>
      <c r="L451" s="7" t="s">
        <v>1247</v>
      </c>
      <c r="M451" s="7" t="s">
        <v>263</v>
      </c>
      <c r="N451" s="7" t="s">
        <v>260</v>
      </c>
      <c r="O451" s="7"/>
      <c r="P451" s="37"/>
      <c r="Q451" s="7"/>
    </row>
    <row r="452">
      <c r="A452" s="7">
        <v>447.0</v>
      </c>
      <c r="B452" s="7" t="s">
        <v>265</v>
      </c>
      <c r="C452" s="7" t="str">
        <f>IFERROR(__xludf.DUMMYFUNCTION("GOOGLETRANSLATE($B452, $A$2, $B$2)"),"More than 30 days ago")</f>
        <v>More than 30 days ago</v>
      </c>
      <c r="D452" s="7" t="s">
        <v>1248</v>
      </c>
      <c r="E452" s="7" t="s">
        <v>271</v>
      </c>
      <c r="F452" s="7" t="s">
        <v>1249</v>
      </c>
      <c r="G452" s="7" t="s">
        <v>260</v>
      </c>
      <c r="H452" s="7" t="s">
        <v>261</v>
      </c>
      <c r="I452" s="7" t="s">
        <v>261</v>
      </c>
      <c r="J452" s="7" t="str">
        <f>IFERROR(__xludf.DUMMYFUNCTION("GOOGLETRANSLATE($I452, ""de"", ""en"")"),"NO SALARY DATA")</f>
        <v>NO SALARY DATA</v>
      </c>
      <c r="K452" s="7" t="s">
        <v>261</v>
      </c>
      <c r="L452" s="7" t="s">
        <v>410</v>
      </c>
      <c r="M452" s="7" t="s">
        <v>263</v>
      </c>
      <c r="N452" s="7" t="s">
        <v>260</v>
      </c>
      <c r="O452" s="7"/>
      <c r="P452" s="35"/>
      <c r="Q452" s="7"/>
    </row>
    <row r="453">
      <c r="A453" s="7">
        <v>448.0</v>
      </c>
      <c r="B453" s="7" t="s">
        <v>469</v>
      </c>
      <c r="C453" s="7" t="str">
        <f>IFERROR(__xludf.DUMMYFUNCTION("GOOGLETRANSLATE($B453, $A$2, $B$2)"),"19 days ago")</f>
        <v>19 days ago</v>
      </c>
      <c r="D453" s="7" t="s">
        <v>328</v>
      </c>
      <c r="E453" s="7" t="s">
        <v>1114</v>
      </c>
      <c r="F453" s="7" t="s">
        <v>1250</v>
      </c>
      <c r="G453" s="7" t="s">
        <v>260</v>
      </c>
      <c r="H453" s="7" t="s">
        <v>261</v>
      </c>
      <c r="I453" s="7" t="s">
        <v>261</v>
      </c>
      <c r="J453" s="7" t="str">
        <f>IFERROR(__xludf.DUMMYFUNCTION("GOOGLETRANSLATE($I453, ""de"", ""en"")"),"NO SALARY DATA")</f>
        <v>NO SALARY DATA</v>
      </c>
      <c r="K453" s="7" t="s">
        <v>261</v>
      </c>
      <c r="L453" s="7" t="s">
        <v>321</v>
      </c>
      <c r="M453" s="7" t="s">
        <v>263</v>
      </c>
      <c r="N453" s="7" t="s">
        <v>611</v>
      </c>
      <c r="O453" s="7"/>
      <c r="P453" s="35"/>
      <c r="Q453" s="7"/>
    </row>
    <row r="454">
      <c r="A454" s="7">
        <v>449.0</v>
      </c>
      <c r="B454" s="7" t="s">
        <v>341</v>
      </c>
      <c r="C454" s="7" t="str">
        <f>IFERROR(__xludf.DUMMYFUNCTION("GOOGLETRANSLATE($B454, $A$2, $B$2)"),"before 14 days")</f>
        <v>before 14 days</v>
      </c>
      <c r="D454" s="7" t="s">
        <v>1251</v>
      </c>
      <c r="E454" s="7" t="s">
        <v>401</v>
      </c>
      <c r="F454" s="7" t="s">
        <v>1252</v>
      </c>
      <c r="G454" s="7" t="s">
        <v>260</v>
      </c>
      <c r="H454" s="7" t="s">
        <v>261</v>
      </c>
      <c r="I454" s="7" t="s">
        <v>261</v>
      </c>
      <c r="J454" s="7" t="str">
        <f>IFERROR(__xludf.DUMMYFUNCTION("GOOGLETRANSLATE($I454, ""de"", ""en"")"),"NO SALARY DATA")</f>
        <v>NO SALARY DATA</v>
      </c>
      <c r="K454" s="7" t="s">
        <v>261</v>
      </c>
      <c r="L454" s="7" t="s">
        <v>649</v>
      </c>
      <c r="M454" s="7" t="s">
        <v>263</v>
      </c>
      <c r="N454" s="7" t="s">
        <v>340</v>
      </c>
      <c r="O454" s="7"/>
      <c r="P454" s="37"/>
      <c r="Q454" s="7"/>
    </row>
    <row r="455">
      <c r="A455" s="7">
        <v>450.0</v>
      </c>
      <c r="B455" s="7" t="s">
        <v>265</v>
      </c>
      <c r="C455" s="7" t="str">
        <f>IFERROR(__xludf.DUMMYFUNCTION("GOOGLETRANSLATE($B455, $A$2, $B$2)"),"More than 30 days ago")</f>
        <v>More than 30 days ago</v>
      </c>
      <c r="D455" s="7" t="s">
        <v>1253</v>
      </c>
      <c r="E455" s="7" t="s">
        <v>258</v>
      </c>
      <c r="F455" s="7" t="s">
        <v>755</v>
      </c>
      <c r="G455" s="7" t="s">
        <v>260</v>
      </c>
      <c r="H455" s="7" t="s">
        <v>261</v>
      </c>
      <c r="I455" s="7" t="s">
        <v>261</v>
      </c>
      <c r="J455" s="7" t="str">
        <f>IFERROR(__xludf.DUMMYFUNCTION("GOOGLETRANSLATE($I455, ""de"", ""en"")"),"NO SALARY DATA")</f>
        <v>NO SALARY DATA</v>
      </c>
      <c r="K455" s="7" t="s">
        <v>261</v>
      </c>
      <c r="L455" s="7" t="s">
        <v>318</v>
      </c>
      <c r="M455" s="7" t="s">
        <v>263</v>
      </c>
      <c r="N455" s="7" t="s">
        <v>260</v>
      </c>
      <c r="O455" s="7"/>
      <c r="P455" s="35"/>
      <c r="Q455" s="7"/>
    </row>
    <row r="456">
      <c r="A456" s="7">
        <v>451.0</v>
      </c>
      <c r="B456" s="7" t="s">
        <v>637</v>
      </c>
      <c r="C456" s="7" t="str">
        <f>IFERROR(__xludf.DUMMYFUNCTION("GOOGLETRANSLATE($B456, $A$2, $B$2)"),"17 days ago")</f>
        <v>17 days ago</v>
      </c>
      <c r="D456" s="7" t="s">
        <v>1254</v>
      </c>
      <c r="E456" s="7" t="s">
        <v>258</v>
      </c>
      <c r="F456" s="7" t="s">
        <v>1255</v>
      </c>
      <c r="G456" s="7" t="s">
        <v>260</v>
      </c>
      <c r="H456" s="7" t="s">
        <v>261</v>
      </c>
      <c r="I456" s="7" t="s">
        <v>261</v>
      </c>
      <c r="J456" s="7" t="str">
        <f>IFERROR(__xludf.DUMMYFUNCTION("GOOGLETRANSLATE($I456, ""de"", ""en"")"),"NO SALARY DATA")</f>
        <v>NO SALARY DATA</v>
      </c>
      <c r="K456" s="7" t="s">
        <v>261</v>
      </c>
      <c r="L456" s="7" t="s">
        <v>1256</v>
      </c>
      <c r="M456" s="7" t="s">
        <v>263</v>
      </c>
      <c r="N456" s="7" t="s">
        <v>507</v>
      </c>
      <c r="O456" s="7"/>
      <c r="P456" s="37"/>
      <c r="Q456" s="7"/>
    </row>
    <row r="457">
      <c r="A457" s="7">
        <v>452.0</v>
      </c>
      <c r="B457" s="7" t="s">
        <v>395</v>
      </c>
      <c r="C457" s="7" t="str">
        <f>IFERROR(__xludf.DUMMYFUNCTION("GOOGLETRANSLATE($B457, $A$2, $B$2)"),"21 days ago")</f>
        <v>21 days ago</v>
      </c>
      <c r="D457" s="7" t="s">
        <v>1257</v>
      </c>
      <c r="E457" s="7" t="s">
        <v>258</v>
      </c>
      <c r="F457" s="7" t="s">
        <v>1258</v>
      </c>
      <c r="G457" s="7" t="s">
        <v>260</v>
      </c>
      <c r="H457" s="7" t="s">
        <v>261</v>
      </c>
      <c r="I457" s="7" t="s">
        <v>261</v>
      </c>
      <c r="J457" s="7" t="str">
        <f>IFERROR(__xludf.DUMMYFUNCTION("GOOGLETRANSLATE($I457, ""de"", ""en"")"),"NO SALARY DATA")</f>
        <v>NO SALARY DATA</v>
      </c>
      <c r="K457" s="7" t="s">
        <v>261</v>
      </c>
      <c r="L457" s="7" t="s">
        <v>777</v>
      </c>
      <c r="M457" s="7" t="s">
        <v>263</v>
      </c>
      <c r="N457" s="7" t="s">
        <v>260</v>
      </c>
      <c r="O457" s="7"/>
      <c r="P457" s="37"/>
      <c r="Q457" s="7"/>
    </row>
    <row r="458">
      <c r="A458" s="7">
        <v>453.0</v>
      </c>
      <c r="B458" s="7" t="s">
        <v>256</v>
      </c>
      <c r="C458" s="7" t="str">
        <f>IFERROR(__xludf.DUMMYFUNCTION("GOOGLETRANSLATE($B458, $A$2, $B$2)"),"7 days ago")</f>
        <v>7 days ago</v>
      </c>
      <c r="D458" s="7" t="s">
        <v>306</v>
      </c>
      <c r="E458" s="7" t="s">
        <v>866</v>
      </c>
      <c r="F458" s="7" t="s">
        <v>1259</v>
      </c>
      <c r="G458" s="7" t="s">
        <v>260</v>
      </c>
      <c r="H458" s="7" t="s">
        <v>261</v>
      </c>
      <c r="I458" s="7" t="s">
        <v>261</v>
      </c>
      <c r="J458" s="7" t="str">
        <f>IFERROR(__xludf.DUMMYFUNCTION("GOOGLETRANSLATE($I458, ""de"", ""en"")"),"NO SALARY DATA")</f>
        <v>NO SALARY DATA</v>
      </c>
      <c r="K458" s="7" t="s">
        <v>261</v>
      </c>
      <c r="L458" s="7"/>
      <c r="M458" s="7" t="s">
        <v>263</v>
      </c>
      <c r="N458" s="7" t="s">
        <v>260</v>
      </c>
      <c r="O458" s="7"/>
      <c r="P458" s="37"/>
      <c r="Q458" s="7"/>
    </row>
    <row r="459">
      <c r="A459" s="7">
        <v>454.0</v>
      </c>
      <c r="B459" s="7" t="s">
        <v>265</v>
      </c>
      <c r="C459" s="7" t="str">
        <f>IFERROR(__xludf.DUMMYFUNCTION("GOOGLETRANSLATE($B459, $A$2, $B$2)"),"More than 30 days ago")</f>
        <v>More than 30 days ago</v>
      </c>
      <c r="D459" s="7" t="s">
        <v>668</v>
      </c>
      <c r="E459" s="7" t="s">
        <v>1260</v>
      </c>
      <c r="F459" s="7" t="s">
        <v>1261</v>
      </c>
      <c r="G459" s="7" t="s">
        <v>260</v>
      </c>
      <c r="H459" s="7" t="s">
        <v>261</v>
      </c>
      <c r="I459" s="7" t="s">
        <v>261</v>
      </c>
      <c r="J459" s="7" t="str">
        <f>IFERROR(__xludf.DUMMYFUNCTION("GOOGLETRANSLATE($I459, ""de"", ""en"")"),"NO SALARY DATA")</f>
        <v>NO SALARY DATA</v>
      </c>
      <c r="K459" s="7" t="s">
        <v>261</v>
      </c>
      <c r="L459" s="7" t="s">
        <v>433</v>
      </c>
      <c r="M459" s="7" t="s">
        <v>263</v>
      </c>
      <c r="N459" s="7" t="s">
        <v>260</v>
      </c>
      <c r="O459" s="7"/>
      <c r="P459" s="37"/>
      <c r="Q459" s="7"/>
    </row>
    <row r="460">
      <c r="A460" s="7">
        <v>455.0</v>
      </c>
      <c r="B460" s="7" t="s">
        <v>508</v>
      </c>
      <c r="C460" s="7" t="str">
        <f>IFERROR(__xludf.DUMMYFUNCTION("GOOGLETRANSLATE($B460, $A$2, $B$2)"),"24 days ago")</f>
        <v>24 days ago</v>
      </c>
      <c r="D460" s="7" t="s">
        <v>916</v>
      </c>
      <c r="E460" s="7" t="s">
        <v>258</v>
      </c>
      <c r="F460" s="7" t="s">
        <v>917</v>
      </c>
      <c r="G460" s="7" t="s">
        <v>260</v>
      </c>
      <c r="H460" s="7" t="s">
        <v>261</v>
      </c>
      <c r="I460" s="7" t="s">
        <v>261</v>
      </c>
      <c r="J460" s="7" t="str">
        <f>IFERROR(__xludf.DUMMYFUNCTION("GOOGLETRANSLATE($I460, ""de"", ""en"")"),"NO SALARY DATA")</f>
        <v>NO SALARY DATA</v>
      </c>
      <c r="K460" s="7" t="s">
        <v>261</v>
      </c>
      <c r="L460" s="7" t="s">
        <v>445</v>
      </c>
      <c r="M460" s="7" t="s">
        <v>263</v>
      </c>
      <c r="N460" s="7" t="s">
        <v>260</v>
      </c>
      <c r="O460" s="7"/>
      <c r="P460" s="37"/>
      <c r="Q460" s="7"/>
    </row>
    <row r="461">
      <c r="A461" s="7">
        <v>456.0</v>
      </c>
      <c r="B461" s="7" t="s">
        <v>288</v>
      </c>
      <c r="C461" s="7" t="str">
        <f>IFERROR(__xludf.DUMMYFUNCTION("GOOGLETRANSLATE($B461, $A$2, $B$2)"),"2 days ago")</f>
        <v>2 days ago</v>
      </c>
      <c r="D461" s="7" t="s">
        <v>1262</v>
      </c>
      <c r="E461" s="7" t="s">
        <v>271</v>
      </c>
      <c r="F461" s="7" t="s">
        <v>1263</v>
      </c>
      <c r="G461" s="7" t="s">
        <v>260</v>
      </c>
      <c r="H461" s="7" t="s">
        <v>261</v>
      </c>
      <c r="I461" s="7" t="s">
        <v>261</v>
      </c>
      <c r="J461" s="7" t="str">
        <f>IFERROR(__xludf.DUMMYFUNCTION("GOOGLETRANSLATE($I461, ""de"", ""en"")"),"NO SALARY DATA")</f>
        <v>NO SALARY DATA</v>
      </c>
      <c r="K461" s="7" t="s">
        <v>261</v>
      </c>
      <c r="L461" s="7" t="s">
        <v>327</v>
      </c>
      <c r="M461" s="7" t="s">
        <v>263</v>
      </c>
      <c r="N461" s="7" t="s">
        <v>260</v>
      </c>
      <c r="O461" s="7"/>
      <c r="P461" s="37"/>
      <c r="Q461" s="7"/>
    </row>
    <row r="462">
      <c r="A462" s="7">
        <v>457.0</v>
      </c>
      <c r="B462" s="7" t="s">
        <v>265</v>
      </c>
      <c r="C462" s="7" t="str">
        <f>IFERROR(__xludf.DUMMYFUNCTION("GOOGLETRANSLATE($B462, $A$2, $B$2)"),"More than 30 days ago")</f>
        <v>More than 30 days ago</v>
      </c>
      <c r="D462" s="7" t="s">
        <v>1264</v>
      </c>
      <c r="E462" s="7" t="s">
        <v>348</v>
      </c>
      <c r="F462" s="7" t="s">
        <v>1265</v>
      </c>
      <c r="G462" s="7" t="s">
        <v>260</v>
      </c>
      <c r="H462" s="7" t="s">
        <v>261</v>
      </c>
      <c r="I462" s="7" t="s">
        <v>261</v>
      </c>
      <c r="J462" s="7" t="str">
        <f>IFERROR(__xludf.DUMMYFUNCTION("GOOGLETRANSLATE($I462, ""de"", ""en"")"),"NO SALARY DATA")</f>
        <v>NO SALARY DATA</v>
      </c>
      <c r="K462" s="7" t="s">
        <v>261</v>
      </c>
      <c r="L462" s="7" t="s">
        <v>423</v>
      </c>
      <c r="M462" s="7" t="s">
        <v>263</v>
      </c>
      <c r="N462" s="7" t="s">
        <v>260</v>
      </c>
      <c r="O462" s="7"/>
      <c r="P462" s="35"/>
      <c r="Q462" s="7"/>
    </row>
    <row r="463">
      <c r="A463" s="7">
        <v>458.0</v>
      </c>
      <c r="B463" s="7" t="s">
        <v>265</v>
      </c>
      <c r="C463" s="7" t="str">
        <f>IFERROR(__xludf.DUMMYFUNCTION("GOOGLETRANSLATE($B463, $A$2, $B$2)"),"More than 30 days ago")</f>
        <v>More than 30 days ago</v>
      </c>
      <c r="D463" s="7" t="s">
        <v>1266</v>
      </c>
      <c r="E463" s="7" t="s">
        <v>258</v>
      </c>
      <c r="F463" s="7" t="s">
        <v>1267</v>
      </c>
      <c r="G463" s="7" t="s">
        <v>260</v>
      </c>
      <c r="H463" s="7" t="s">
        <v>261</v>
      </c>
      <c r="I463" s="7" t="s">
        <v>261</v>
      </c>
      <c r="J463" s="7" t="str">
        <f>IFERROR(__xludf.DUMMYFUNCTION("GOOGLETRANSLATE($I463, ""de"", ""en"")"),"NO SALARY DATA")</f>
        <v>NO SALARY DATA</v>
      </c>
      <c r="K463" s="7" t="s">
        <v>261</v>
      </c>
      <c r="L463" s="7" t="s">
        <v>1268</v>
      </c>
      <c r="M463" s="7" t="s">
        <v>263</v>
      </c>
      <c r="N463" s="7" t="s">
        <v>473</v>
      </c>
      <c r="O463" s="7"/>
      <c r="P463" s="35"/>
      <c r="Q463" s="7"/>
    </row>
    <row r="464">
      <c r="A464" s="7">
        <v>459.0</v>
      </c>
      <c r="B464" s="7" t="s">
        <v>265</v>
      </c>
      <c r="C464" s="7" t="str">
        <f>IFERROR(__xludf.DUMMYFUNCTION("GOOGLETRANSLATE($B464, $A$2, $B$2)"),"More than 30 days ago")</f>
        <v>More than 30 days ago</v>
      </c>
      <c r="D464" s="7" t="s">
        <v>1269</v>
      </c>
      <c r="E464" s="7" t="s">
        <v>271</v>
      </c>
      <c r="F464" s="7" t="s">
        <v>1168</v>
      </c>
      <c r="G464" s="7" t="s">
        <v>260</v>
      </c>
      <c r="H464" s="7" t="s">
        <v>261</v>
      </c>
      <c r="I464" s="7" t="s">
        <v>261</v>
      </c>
      <c r="J464" s="7" t="str">
        <f>IFERROR(__xludf.DUMMYFUNCTION("GOOGLETRANSLATE($I464, ""de"", ""en"")"),"NO SALARY DATA")</f>
        <v>NO SALARY DATA</v>
      </c>
      <c r="K464" s="7" t="s">
        <v>261</v>
      </c>
      <c r="L464" s="7" t="s">
        <v>1270</v>
      </c>
      <c r="M464" s="7" t="s">
        <v>263</v>
      </c>
      <c r="N464" s="7" t="s">
        <v>1169</v>
      </c>
      <c r="O464" s="7"/>
      <c r="P464" s="37"/>
      <c r="Q464" s="7"/>
    </row>
    <row r="465">
      <c r="A465" s="7">
        <v>460.0</v>
      </c>
      <c r="B465" s="7" t="s">
        <v>1271</v>
      </c>
      <c r="C465" s="7" t="str">
        <f>IFERROR(__xludf.DUMMYFUNCTION("GOOGLETRANSLATE($B465, $A$2, $B$2)"),"27 days ago")</f>
        <v>27 days ago</v>
      </c>
      <c r="D465" s="7" t="s">
        <v>1272</v>
      </c>
      <c r="E465" s="7" t="s">
        <v>1273</v>
      </c>
      <c r="F465" s="7" t="s">
        <v>1274</v>
      </c>
      <c r="G465" s="7" t="s">
        <v>260</v>
      </c>
      <c r="H465" s="7" t="s">
        <v>261</v>
      </c>
      <c r="I465" s="7" t="s">
        <v>261</v>
      </c>
      <c r="J465" s="7" t="str">
        <f>IFERROR(__xludf.DUMMYFUNCTION("GOOGLETRANSLATE($I465, ""de"", ""en"")"),"NO SALARY DATA")</f>
        <v>NO SALARY DATA</v>
      </c>
      <c r="K465" s="7" t="s">
        <v>261</v>
      </c>
      <c r="L465" s="7" t="s">
        <v>777</v>
      </c>
      <c r="M465" s="7" t="s">
        <v>263</v>
      </c>
      <c r="N465" s="7" t="s">
        <v>260</v>
      </c>
      <c r="O465" s="7"/>
      <c r="P465" s="35"/>
      <c r="Q465" s="7"/>
    </row>
    <row r="466">
      <c r="A466" s="7">
        <v>461.0</v>
      </c>
      <c r="B466" s="7" t="s">
        <v>265</v>
      </c>
      <c r="C466" s="7" t="str">
        <f>IFERROR(__xludf.DUMMYFUNCTION("GOOGLETRANSLATE($B466, $A$2, $B$2)"),"More than 30 days ago")</f>
        <v>More than 30 days ago</v>
      </c>
      <c r="D466" s="7" t="s">
        <v>744</v>
      </c>
      <c r="E466" s="7" t="s">
        <v>271</v>
      </c>
      <c r="F466" s="7" t="s">
        <v>745</v>
      </c>
      <c r="G466" s="7" t="s">
        <v>260</v>
      </c>
      <c r="H466" s="7" t="s">
        <v>261</v>
      </c>
      <c r="I466" s="7" t="s">
        <v>261</v>
      </c>
      <c r="J466" s="7" t="str">
        <f>IFERROR(__xludf.DUMMYFUNCTION("GOOGLETRANSLATE($I466, ""de"", ""en"")"),"NO SALARY DATA")</f>
        <v>NO SALARY DATA</v>
      </c>
      <c r="K466" s="7" t="s">
        <v>261</v>
      </c>
      <c r="L466" s="7" t="s">
        <v>746</v>
      </c>
      <c r="M466" s="7" t="s">
        <v>263</v>
      </c>
      <c r="N466" s="7" t="s">
        <v>323</v>
      </c>
      <c r="O466" s="7"/>
      <c r="P466" s="37"/>
      <c r="Q466" s="7"/>
    </row>
    <row r="467">
      <c r="A467" s="7">
        <v>462.0</v>
      </c>
      <c r="B467" s="7" t="s">
        <v>265</v>
      </c>
      <c r="C467" s="7" t="str">
        <f>IFERROR(__xludf.DUMMYFUNCTION("GOOGLETRANSLATE($B467, $A$2, $B$2)"),"More than 30 days ago")</f>
        <v>More than 30 days ago</v>
      </c>
      <c r="D467" s="7" t="s">
        <v>1275</v>
      </c>
      <c r="E467" s="7" t="s">
        <v>258</v>
      </c>
      <c r="F467" s="7" t="s">
        <v>1276</v>
      </c>
      <c r="G467" s="7" t="s">
        <v>260</v>
      </c>
      <c r="H467" s="7" t="s">
        <v>261</v>
      </c>
      <c r="I467" s="7" t="s">
        <v>261</v>
      </c>
      <c r="J467" s="7" t="str">
        <f>IFERROR(__xludf.DUMMYFUNCTION("GOOGLETRANSLATE($I467, ""de"", ""en"")"),"NO SALARY DATA")</f>
        <v>NO SALARY DATA</v>
      </c>
      <c r="K467" s="7" t="s">
        <v>261</v>
      </c>
      <c r="L467" s="7" t="s">
        <v>1277</v>
      </c>
      <c r="M467" s="7" t="s">
        <v>263</v>
      </c>
      <c r="N467" s="7" t="s">
        <v>260</v>
      </c>
      <c r="O467" s="7"/>
      <c r="P467" s="35"/>
      <c r="Q467" s="7"/>
    </row>
    <row r="468">
      <c r="A468" s="7">
        <v>463.0</v>
      </c>
      <c r="B468" s="7" t="s">
        <v>265</v>
      </c>
      <c r="C468" s="7" t="str">
        <f>IFERROR(__xludf.DUMMYFUNCTION("GOOGLETRANSLATE($B468, $A$2, $B$2)"),"More than 30 days ago")</f>
        <v>More than 30 days ago</v>
      </c>
      <c r="D468" s="7" t="s">
        <v>1278</v>
      </c>
      <c r="E468" s="7" t="s">
        <v>480</v>
      </c>
      <c r="F468" s="7" t="s">
        <v>1279</v>
      </c>
      <c r="G468" s="7" t="s">
        <v>260</v>
      </c>
      <c r="H468" s="7" t="s">
        <v>261</v>
      </c>
      <c r="I468" s="7" t="s">
        <v>261</v>
      </c>
      <c r="J468" s="7" t="str">
        <f>IFERROR(__xludf.DUMMYFUNCTION("GOOGLETRANSLATE($I468, ""de"", ""en"")"),"NO SALARY DATA")</f>
        <v>NO SALARY DATA</v>
      </c>
      <c r="K468" s="7" t="s">
        <v>261</v>
      </c>
      <c r="L468" s="7" t="s">
        <v>312</v>
      </c>
      <c r="M468" s="7" t="s">
        <v>263</v>
      </c>
      <c r="N468" s="7" t="s">
        <v>507</v>
      </c>
      <c r="O468" s="7"/>
      <c r="P468" s="35"/>
      <c r="Q468" s="7"/>
    </row>
    <row r="469">
      <c r="A469" s="7">
        <v>464.0</v>
      </c>
      <c r="B469" s="7" t="s">
        <v>265</v>
      </c>
      <c r="C469" s="7" t="str">
        <f>IFERROR(__xludf.DUMMYFUNCTION("GOOGLETRANSLATE($B469, $A$2, $B$2)"),"More than 30 days ago")</f>
        <v>More than 30 days ago</v>
      </c>
      <c r="D469" s="7" t="s">
        <v>1280</v>
      </c>
      <c r="E469" s="7" t="s">
        <v>258</v>
      </c>
      <c r="F469" s="7" t="s">
        <v>1217</v>
      </c>
      <c r="G469" s="7" t="s">
        <v>260</v>
      </c>
      <c r="H469" s="7" t="s">
        <v>261</v>
      </c>
      <c r="I469" s="7" t="s">
        <v>261</v>
      </c>
      <c r="J469" s="7" t="str">
        <f>IFERROR(__xludf.DUMMYFUNCTION("GOOGLETRANSLATE($I469, ""de"", ""en"")"),"NO SALARY DATA")</f>
        <v>NO SALARY DATA</v>
      </c>
      <c r="K469" s="7" t="s">
        <v>261</v>
      </c>
      <c r="L469" s="7" t="s">
        <v>908</v>
      </c>
      <c r="M469" s="7" t="s">
        <v>263</v>
      </c>
      <c r="N469" s="7" t="s">
        <v>725</v>
      </c>
      <c r="O469" s="7"/>
      <c r="P469" s="35"/>
      <c r="Q469" s="7"/>
    </row>
    <row r="470">
      <c r="A470" s="7">
        <v>465.0</v>
      </c>
      <c r="B470" s="7" t="s">
        <v>265</v>
      </c>
      <c r="C470" s="7" t="str">
        <f>IFERROR(__xludf.DUMMYFUNCTION("GOOGLETRANSLATE($B470, $A$2, $B$2)"),"More than 30 days ago")</f>
        <v>More than 30 days ago</v>
      </c>
      <c r="D470" s="7" t="s">
        <v>1281</v>
      </c>
      <c r="E470" s="7" t="s">
        <v>258</v>
      </c>
      <c r="F470" s="7" t="s">
        <v>794</v>
      </c>
      <c r="G470" s="7" t="s">
        <v>260</v>
      </c>
      <c r="H470" s="7" t="s">
        <v>261</v>
      </c>
      <c r="I470" s="7" t="s">
        <v>261</v>
      </c>
      <c r="J470" s="7" t="str">
        <f>IFERROR(__xludf.DUMMYFUNCTION("GOOGLETRANSLATE($I470, ""de"", ""en"")"),"NO SALARY DATA")</f>
        <v>NO SALARY DATA</v>
      </c>
      <c r="K470" s="7" t="s">
        <v>261</v>
      </c>
      <c r="L470" s="7" t="s">
        <v>339</v>
      </c>
      <c r="M470" s="7" t="s">
        <v>263</v>
      </c>
      <c r="N470" s="7" t="s">
        <v>323</v>
      </c>
      <c r="O470" s="7"/>
      <c r="P470" s="35"/>
      <c r="Q470" s="7"/>
    </row>
    <row r="471">
      <c r="A471" s="7">
        <v>466.0</v>
      </c>
      <c r="B471" s="7" t="s">
        <v>265</v>
      </c>
      <c r="C471" s="7" t="str">
        <f>IFERROR(__xludf.DUMMYFUNCTION("GOOGLETRANSLATE($B471, $A$2, $B$2)"),"More than 30 days ago")</f>
        <v>More than 30 days ago</v>
      </c>
      <c r="D471" s="7" t="s">
        <v>1282</v>
      </c>
      <c r="E471" s="7" t="s">
        <v>480</v>
      </c>
      <c r="F471" s="7" t="s">
        <v>1283</v>
      </c>
      <c r="G471" s="7" t="s">
        <v>260</v>
      </c>
      <c r="H471" s="7" t="s">
        <v>261</v>
      </c>
      <c r="I471" s="7" t="s">
        <v>261</v>
      </c>
      <c r="J471" s="7" t="str">
        <f>IFERROR(__xludf.DUMMYFUNCTION("GOOGLETRANSLATE($I471, ""de"", ""en"")"),"NO SALARY DATA")</f>
        <v>NO SALARY DATA</v>
      </c>
      <c r="K471" s="7" t="s">
        <v>261</v>
      </c>
      <c r="L471" s="7"/>
      <c r="M471" s="7" t="s">
        <v>263</v>
      </c>
      <c r="N471" s="7" t="s">
        <v>331</v>
      </c>
      <c r="O471" s="7"/>
      <c r="P471" s="35"/>
      <c r="Q471" s="7"/>
    </row>
    <row r="472">
      <c r="A472" s="7">
        <v>467.0</v>
      </c>
      <c r="B472" s="7" t="s">
        <v>621</v>
      </c>
      <c r="C472" s="7" t="str">
        <f>IFERROR(__xludf.DUMMYFUNCTION("GOOGLETRANSLATE($B472, $A$2, $B$2)"),"20 days ago")</f>
        <v>20 days ago</v>
      </c>
      <c r="D472" s="7" t="s">
        <v>306</v>
      </c>
      <c r="E472" s="7" t="s">
        <v>408</v>
      </c>
      <c r="F472" s="7" t="s">
        <v>1284</v>
      </c>
      <c r="G472" s="7" t="s">
        <v>260</v>
      </c>
      <c r="H472" s="7" t="s">
        <v>261</v>
      </c>
      <c r="I472" s="7" t="s">
        <v>261</v>
      </c>
      <c r="J472" s="7" t="str">
        <f>IFERROR(__xludf.DUMMYFUNCTION("GOOGLETRANSLATE($I472, ""de"", ""en"")"),"NO SALARY DATA")</f>
        <v>NO SALARY DATA</v>
      </c>
      <c r="K472" s="7" t="s">
        <v>261</v>
      </c>
      <c r="L472" s="7" t="s">
        <v>593</v>
      </c>
      <c r="M472" s="7" t="s">
        <v>263</v>
      </c>
      <c r="N472" s="7" t="s">
        <v>336</v>
      </c>
      <c r="O472" s="7"/>
      <c r="P472" s="35"/>
      <c r="Q472" s="7"/>
    </row>
    <row r="473">
      <c r="A473" s="7">
        <v>468.0</v>
      </c>
      <c r="B473" s="7" t="s">
        <v>292</v>
      </c>
      <c r="C473" s="7" t="str">
        <f>IFERROR(__xludf.DUMMYFUNCTION("GOOGLETRANSLATE($B473, $A$2, $B$2)"),"1 day ago")</f>
        <v>1 day ago</v>
      </c>
      <c r="D473" s="7" t="s">
        <v>1285</v>
      </c>
      <c r="E473" s="7" t="s">
        <v>258</v>
      </c>
      <c r="F473" s="7" t="s">
        <v>1286</v>
      </c>
      <c r="G473" s="7" t="s">
        <v>260</v>
      </c>
      <c r="H473" s="7" t="s">
        <v>261</v>
      </c>
      <c r="I473" s="7" t="s">
        <v>261</v>
      </c>
      <c r="J473" s="7" t="str">
        <f>IFERROR(__xludf.DUMMYFUNCTION("GOOGLETRANSLATE($I473, ""de"", ""en"")"),"NO SALARY DATA")</f>
        <v>NO SALARY DATA</v>
      </c>
      <c r="K473" s="7" t="s">
        <v>261</v>
      </c>
      <c r="L473" s="7" t="s">
        <v>649</v>
      </c>
      <c r="M473" s="7" t="s">
        <v>263</v>
      </c>
      <c r="N473" s="7" t="s">
        <v>1287</v>
      </c>
      <c r="O473" s="7"/>
      <c r="P473" s="37"/>
      <c r="Q473" s="7"/>
    </row>
    <row r="474">
      <c r="A474" s="7">
        <v>469.0</v>
      </c>
      <c r="B474" s="7" t="s">
        <v>256</v>
      </c>
      <c r="C474" s="7" t="str">
        <f>IFERROR(__xludf.DUMMYFUNCTION("GOOGLETRANSLATE($B474, $A$2, $B$2)"),"7 days ago")</f>
        <v>7 days ago</v>
      </c>
      <c r="D474" s="7" t="s">
        <v>306</v>
      </c>
      <c r="E474" s="7" t="s">
        <v>866</v>
      </c>
      <c r="F474" s="7" t="s">
        <v>1259</v>
      </c>
      <c r="G474" s="7" t="s">
        <v>260</v>
      </c>
      <c r="H474" s="7" t="s">
        <v>261</v>
      </c>
      <c r="I474" s="7" t="s">
        <v>261</v>
      </c>
      <c r="J474" s="7" t="str">
        <f>IFERROR(__xludf.DUMMYFUNCTION("GOOGLETRANSLATE($I474, ""de"", ""en"")"),"NO SALARY DATA")</f>
        <v>NO SALARY DATA</v>
      </c>
      <c r="K474" s="7" t="s">
        <v>261</v>
      </c>
      <c r="L474" s="7"/>
      <c r="M474" s="7" t="s">
        <v>263</v>
      </c>
      <c r="N474" s="7" t="s">
        <v>260</v>
      </c>
      <c r="O474" s="7"/>
      <c r="P474" s="37"/>
      <c r="Q474" s="7"/>
    </row>
    <row r="475">
      <c r="A475" s="7">
        <v>470.0</v>
      </c>
      <c r="B475" s="7" t="s">
        <v>265</v>
      </c>
      <c r="C475" s="7" t="str">
        <f>IFERROR(__xludf.DUMMYFUNCTION("GOOGLETRANSLATE($B475, $A$2, $B$2)"),"More than 30 days ago")</f>
        <v>More than 30 days ago</v>
      </c>
      <c r="D475" s="7" t="s">
        <v>1188</v>
      </c>
      <c r="E475" s="7" t="s">
        <v>271</v>
      </c>
      <c r="F475" s="7" t="s">
        <v>1189</v>
      </c>
      <c r="G475" s="7" t="s">
        <v>260</v>
      </c>
      <c r="H475" s="7" t="s">
        <v>261</v>
      </c>
      <c r="I475" s="7" t="s">
        <v>261</v>
      </c>
      <c r="J475" s="7" t="str">
        <f>IFERROR(__xludf.DUMMYFUNCTION("GOOGLETRANSLATE($I475, ""de"", ""en"")"),"NO SALARY DATA")</f>
        <v>NO SALARY DATA</v>
      </c>
      <c r="K475" s="7" t="s">
        <v>261</v>
      </c>
      <c r="L475" s="7" t="s">
        <v>339</v>
      </c>
      <c r="M475" s="7" t="s">
        <v>263</v>
      </c>
      <c r="N475" s="7" t="s">
        <v>260</v>
      </c>
      <c r="O475" s="7"/>
      <c r="P475" s="37"/>
      <c r="Q475" s="7"/>
    </row>
    <row r="476">
      <c r="A476" s="7">
        <v>471.0</v>
      </c>
      <c r="B476" s="7" t="s">
        <v>621</v>
      </c>
      <c r="C476" s="7" t="str">
        <f>IFERROR(__xludf.DUMMYFUNCTION("GOOGLETRANSLATE($B476, $A$2, $B$2)"),"20 days ago")</f>
        <v>20 days ago</v>
      </c>
      <c r="D476" s="7" t="s">
        <v>1288</v>
      </c>
      <c r="E476" s="7" t="s">
        <v>271</v>
      </c>
      <c r="F476" s="7" t="s">
        <v>1008</v>
      </c>
      <c r="G476" s="7" t="s">
        <v>260</v>
      </c>
      <c r="H476" s="7" t="s">
        <v>261</v>
      </c>
      <c r="I476" s="7" t="s">
        <v>261</v>
      </c>
      <c r="J476" s="7" t="str">
        <f>IFERROR(__xludf.DUMMYFUNCTION("GOOGLETRANSLATE($I476, ""de"", ""en"")"),"NO SALARY DATA")</f>
        <v>NO SALARY DATA</v>
      </c>
      <c r="K476" s="7" t="s">
        <v>261</v>
      </c>
      <c r="L476" s="7" t="s">
        <v>327</v>
      </c>
      <c r="M476" s="7" t="s">
        <v>673</v>
      </c>
      <c r="N476" s="7" t="s">
        <v>260</v>
      </c>
      <c r="O476" s="7"/>
      <c r="P476" s="37"/>
      <c r="Q476" s="7"/>
    </row>
    <row r="477">
      <c r="A477" s="7">
        <v>472.0</v>
      </c>
      <c r="B477" s="7" t="s">
        <v>265</v>
      </c>
      <c r="C477" s="7" t="str">
        <f>IFERROR(__xludf.DUMMYFUNCTION("GOOGLETRANSLATE($B477, $A$2, $B$2)"),"More than 30 days ago")</f>
        <v>More than 30 days ago</v>
      </c>
      <c r="D477" s="7" t="s">
        <v>1289</v>
      </c>
      <c r="E477" s="7" t="s">
        <v>804</v>
      </c>
      <c r="F477" s="7" t="s">
        <v>1290</v>
      </c>
      <c r="G477" s="7" t="s">
        <v>260</v>
      </c>
      <c r="H477" s="7" t="s">
        <v>261</v>
      </c>
      <c r="I477" s="7" t="s">
        <v>261</v>
      </c>
      <c r="J477" s="7" t="str">
        <f>IFERROR(__xludf.DUMMYFUNCTION("GOOGLETRANSLATE($I477, ""de"", ""en"")"),"NO SALARY DATA")</f>
        <v>NO SALARY DATA</v>
      </c>
      <c r="K477" s="7" t="s">
        <v>261</v>
      </c>
      <c r="L477" s="7" t="s">
        <v>649</v>
      </c>
      <c r="M477" s="7" t="s">
        <v>263</v>
      </c>
      <c r="N477" s="7" t="s">
        <v>260</v>
      </c>
      <c r="O477" s="7"/>
      <c r="P477" s="37"/>
      <c r="Q477" s="7"/>
    </row>
    <row r="478">
      <c r="A478" s="7">
        <v>473.0</v>
      </c>
      <c r="B478" s="7" t="s">
        <v>265</v>
      </c>
      <c r="C478" s="7" t="str">
        <f>IFERROR(__xludf.DUMMYFUNCTION("GOOGLETRANSLATE($B478, $A$2, $B$2)"),"More than 30 days ago")</f>
        <v>More than 30 days ago</v>
      </c>
      <c r="D478" s="7" t="s">
        <v>306</v>
      </c>
      <c r="E478" s="7" t="s">
        <v>352</v>
      </c>
      <c r="F478" s="7" t="s">
        <v>1055</v>
      </c>
      <c r="G478" s="7" t="s">
        <v>260</v>
      </c>
      <c r="H478" s="7" t="s">
        <v>261</v>
      </c>
      <c r="I478" s="7" t="s">
        <v>261</v>
      </c>
      <c r="J478" s="7" t="str">
        <f>IFERROR(__xludf.DUMMYFUNCTION("GOOGLETRANSLATE($I478, ""de"", ""en"")"),"NO SALARY DATA")</f>
        <v>NO SALARY DATA</v>
      </c>
      <c r="K478" s="7" t="s">
        <v>261</v>
      </c>
      <c r="L478" s="7" t="s">
        <v>490</v>
      </c>
      <c r="M478" s="7" t="s">
        <v>263</v>
      </c>
      <c r="N478" s="7" t="s">
        <v>260</v>
      </c>
      <c r="O478" s="7"/>
      <c r="P478" s="37"/>
      <c r="Q478" s="7"/>
    </row>
    <row r="479">
      <c r="A479" s="7">
        <v>474.0</v>
      </c>
      <c r="B479" s="7" t="s">
        <v>265</v>
      </c>
      <c r="C479" s="7" t="str">
        <f>IFERROR(__xludf.DUMMYFUNCTION("GOOGLETRANSLATE($B479, $A$2, $B$2)"),"More than 30 days ago")</f>
        <v>More than 30 days ago</v>
      </c>
      <c r="D479" s="7" t="s">
        <v>306</v>
      </c>
      <c r="E479" s="7" t="s">
        <v>401</v>
      </c>
      <c r="F479" s="7" t="s">
        <v>1291</v>
      </c>
      <c r="G479" s="7" t="s">
        <v>260</v>
      </c>
      <c r="H479" s="7" t="s">
        <v>261</v>
      </c>
      <c r="I479" s="7" t="s">
        <v>261</v>
      </c>
      <c r="J479" s="7" t="str">
        <f>IFERROR(__xludf.DUMMYFUNCTION("GOOGLETRANSLATE($I479, ""de"", ""en"")"),"NO SALARY DATA")</f>
        <v>NO SALARY DATA</v>
      </c>
      <c r="K479" s="7" t="s">
        <v>261</v>
      </c>
      <c r="L479" s="7" t="s">
        <v>410</v>
      </c>
      <c r="M479" s="7" t="s">
        <v>263</v>
      </c>
      <c r="N479" s="7" t="s">
        <v>260</v>
      </c>
      <c r="O479" s="7"/>
      <c r="P479" s="37"/>
      <c r="Q479" s="7"/>
    </row>
    <row r="480">
      <c r="A480" s="7">
        <v>475.0</v>
      </c>
      <c r="B480" s="7" t="s">
        <v>265</v>
      </c>
      <c r="C480" s="7" t="str">
        <f>IFERROR(__xludf.DUMMYFUNCTION("GOOGLETRANSLATE($B480, $A$2, $B$2)"),"More than 30 days ago")</f>
        <v>More than 30 days ago</v>
      </c>
      <c r="D480" s="7" t="s">
        <v>1292</v>
      </c>
      <c r="E480" s="7" t="s">
        <v>271</v>
      </c>
      <c r="F480" s="7" t="s">
        <v>1293</v>
      </c>
      <c r="G480" s="7" t="s">
        <v>260</v>
      </c>
      <c r="H480" s="7" t="s">
        <v>261</v>
      </c>
      <c r="I480" s="7" t="s">
        <v>261</v>
      </c>
      <c r="J480" s="7" t="str">
        <f>IFERROR(__xludf.DUMMYFUNCTION("GOOGLETRANSLATE($I480, ""de"", ""en"")"),"NO SALARY DATA")</f>
        <v>NO SALARY DATA</v>
      </c>
      <c r="K480" s="7" t="s">
        <v>261</v>
      </c>
      <c r="L480" s="7" t="s">
        <v>423</v>
      </c>
      <c r="M480" s="7" t="s">
        <v>263</v>
      </c>
      <c r="N480" s="7" t="s">
        <v>260</v>
      </c>
      <c r="O480" s="7"/>
      <c r="P480" s="35"/>
      <c r="Q480" s="7"/>
    </row>
    <row r="481">
      <c r="A481" s="7">
        <v>476.0</v>
      </c>
      <c r="B481" s="7" t="s">
        <v>265</v>
      </c>
      <c r="C481" s="7" t="str">
        <f>IFERROR(__xludf.DUMMYFUNCTION("GOOGLETRANSLATE($B481, $A$2, $B$2)"),"More than 30 days ago")</f>
        <v>More than 30 days ago</v>
      </c>
      <c r="D481" s="7" t="s">
        <v>1294</v>
      </c>
      <c r="E481" s="7" t="s">
        <v>343</v>
      </c>
      <c r="F481" s="7" t="s">
        <v>454</v>
      </c>
      <c r="G481" s="7" t="s">
        <v>260</v>
      </c>
      <c r="H481" s="7" t="s">
        <v>261</v>
      </c>
      <c r="I481" s="7" t="s">
        <v>261</v>
      </c>
      <c r="J481" s="7" t="str">
        <f>IFERROR(__xludf.DUMMYFUNCTION("GOOGLETRANSLATE($I481, ""de"", ""en"")"),"NO SALARY DATA")</f>
        <v>NO SALARY DATA</v>
      </c>
      <c r="K481" s="7" t="s">
        <v>261</v>
      </c>
      <c r="L481" s="7" t="s">
        <v>423</v>
      </c>
      <c r="M481" s="7" t="s">
        <v>263</v>
      </c>
      <c r="N481" s="7" t="s">
        <v>331</v>
      </c>
      <c r="O481" s="7"/>
      <c r="P481" s="35"/>
      <c r="Q481" s="7"/>
    </row>
    <row r="482">
      <c r="A482" s="7">
        <v>477.0</v>
      </c>
      <c r="B482" s="7" t="s">
        <v>392</v>
      </c>
      <c r="C482" s="7" t="str">
        <f>IFERROR(__xludf.DUMMYFUNCTION("GOOGLETRANSLATE($B482, $A$2, $B$2)"),"10 days ago")</f>
        <v>10 days ago</v>
      </c>
      <c r="D482" s="7" t="s">
        <v>421</v>
      </c>
      <c r="E482" s="7" t="s">
        <v>271</v>
      </c>
      <c r="F482" s="7" t="s">
        <v>422</v>
      </c>
      <c r="G482" s="7" t="s">
        <v>260</v>
      </c>
      <c r="H482" s="7" t="s">
        <v>261</v>
      </c>
      <c r="I482" s="7" t="s">
        <v>261</v>
      </c>
      <c r="J482" s="7" t="str">
        <f>IFERROR(__xludf.DUMMYFUNCTION("GOOGLETRANSLATE($I482, ""de"", ""en"")"),"NO SALARY DATA")</f>
        <v>NO SALARY DATA</v>
      </c>
      <c r="K482" s="7" t="s">
        <v>261</v>
      </c>
      <c r="L482" s="7" t="s">
        <v>423</v>
      </c>
      <c r="M482" s="7" t="s">
        <v>322</v>
      </c>
      <c r="N482" s="7" t="s">
        <v>275</v>
      </c>
      <c r="O482" s="7"/>
      <c r="P482" s="37"/>
      <c r="Q482" s="7"/>
    </row>
    <row r="483">
      <c r="A483" s="7">
        <v>478.0</v>
      </c>
      <c r="B483" s="7" t="s">
        <v>265</v>
      </c>
      <c r="C483" s="7" t="str">
        <f>IFERROR(__xludf.DUMMYFUNCTION("GOOGLETRANSLATE($B483, $A$2, $B$2)"),"More than 30 days ago")</f>
        <v>More than 30 days ago</v>
      </c>
      <c r="D483" s="7" t="s">
        <v>1022</v>
      </c>
      <c r="E483" s="7" t="s">
        <v>1023</v>
      </c>
      <c r="F483" s="7" t="s">
        <v>1024</v>
      </c>
      <c r="G483" s="7" t="s">
        <v>260</v>
      </c>
      <c r="H483" s="7" t="s">
        <v>261</v>
      </c>
      <c r="I483" s="7" t="s">
        <v>261</v>
      </c>
      <c r="J483" s="7" t="str">
        <f>IFERROR(__xludf.DUMMYFUNCTION("GOOGLETRANSLATE($I483, ""de"", ""en"")"),"NO SALARY DATA")</f>
        <v>NO SALARY DATA</v>
      </c>
      <c r="K483" s="7" t="s">
        <v>261</v>
      </c>
      <c r="L483" s="7" t="s">
        <v>1025</v>
      </c>
      <c r="M483" s="7" t="s">
        <v>263</v>
      </c>
      <c r="N483" s="7" t="s">
        <v>260</v>
      </c>
      <c r="O483" s="7"/>
      <c r="P483" s="37"/>
      <c r="Q483" s="7"/>
    </row>
    <row r="484">
      <c r="A484" s="7">
        <v>479.0</v>
      </c>
      <c r="B484" s="7" t="s">
        <v>324</v>
      </c>
      <c r="C484" s="7" t="str">
        <f>IFERROR(__xludf.DUMMYFUNCTION("GOOGLETRANSLATE($B484, $A$2, $B$2)"),"3 days ago")</f>
        <v>3 days ago</v>
      </c>
      <c r="D484" s="7" t="s">
        <v>306</v>
      </c>
      <c r="E484" s="7" t="s">
        <v>280</v>
      </c>
      <c r="F484" s="7" t="s">
        <v>1295</v>
      </c>
      <c r="G484" s="7" t="s">
        <v>260</v>
      </c>
      <c r="H484" s="7" t="s">
        <v>261</v>
      </c>
      <c r="I484" s="7" t="s">
        <v>261</v>
      </c>
      <c r="J484" s="7" t="str">
        <f>IFERROR(__xludf.DUMMYFUNCTION("GOOGLETRANSLATE($I484, ""de"", ""en"")"),"NO SALARY DATA")</f>
        <v>NO SALARY DATA</v>
      </c>
      <c r="K484" s="7" t="s">
        <v>261</v>
      </c>
      <c r="L484" s="7" t="s">
        <v>1296</v>
      </c>
      <c r="M484" s="7" t="s">
        <v>263</v>
      </c>
      <c r="N484" s="7" t="s">
        <v>260</v>
      </c>
      <c r="O484" s="7"/>
      <c r="P484" s="37"/>
      <c r="Q484" s="7"/>
    </row>
    <row r="485">
      <c r="A485" s="7">
        <v>480.0</v>
      </c>
      <c r="B485" s="7" t="s">
        <v>265</v>
      </c>
      <c r="C485" s="7" t="str">
        <f>IFERROR(__xludf.DUMMYFUNCTION("GOOGLETRANSLATE($B485, $A$2, $B$2)"),"More than 30 days ago")</f>
        <v>More than 30 days ago</v>
      </c>
      <c r="D485" s="7" t="s">
        <v>872</v>
      </c>
      <c r="E485" s="7" t="s">
        <v>348</v>
      </c>
      <c r="F485" s="7" t="s">
        <v>873</v>
      </c>
      <c r="G485" s="7" t="s">
        <v>260</v>
      </c>
      <c r="H485" s="7" t="s">
        <v>261</v>
      </c>
      <c r="I485" s="7" t="s">
        <v>261</v>
      </c>
      <c r="J485" s="7" t="str">
        <f>IFERROR(__xludf.DUMMYFUNCTION("GOOGLETRANSLATE($I485, ""de"", ""en"")"),"NO SALARY DATA")</f>
        <v>NO SALARY DATA</v>
      </c>
      <c r="K485" s="7" t="s">
        <v>261</v>
      </c>
      <c r="L485" s="7" t="s">
        <v>830</v>
      </c>
      <c r="M485" s="7" t="s">
        <v>263</v>
      </c>
      <c r="N485" s="7" t="s">
        <v>260</v>
      </c>
      <c r="O485" s="7"/>
      <c r="P485" s="37"/>
      <c r="Q485" s="7"/>
    </row>
    <row r="486">
      <c r="A486" s="7">
        <v>481.0</v>
      </c>
      <c r="B486" s="7" t="s">
        <v>265</v>
      </c>
      <c r="C486" s="7" t="str">
        <f>IFERROR(__xludf.DUMMYFUNCTION("GOOGLETRANSLATE($B486, $A$2, $B$2)"),"More than 30 days ago")</f>
        <v>More than 30 days ago</v>
      </c>
      <c r="D486" s="7" t="s">
        <v>1297</v>
      </c>
      <c r="E486" s="7" t="s">
        <v>280</v>
      </c>
      <c r="F486" s="7" t="s">
        <v>1092</v>
      </c>
      <c r="G486" s="7" t="s">
        <v>260</v>
      </c>
      <c r="H486" s="7" t="s">
        <v>261</v>
      </c>
      <c r="I486" s="7" t="s">
        <v>261</v>
      </c>
      <c r="J486" s="7" t="str">
        <f>IFERROR(__xludf.DUMMYFUNCTION("GOOGLETRANSLATE($I486, ""de"", ""en"")"),"NO SALARY DATA")</f>
        <v>NO SALARY DATA</v>
      </c>
      <c r="K486" s="7" t="s">
        <v>261</v>
      </c>
      <c r="L486" s="7" t="s">
        <v>1093</v>
      </c>
      <c r="M486" s="7" t="s">
        <v>263</v>
      </c>
      <c r="N486" s="7" t="s">
        <v>260</v>
      </c>
      <c r="O486" s="7"/>
      <c r="P486" s="35"/>
      <c r="Q486" s="7"/>
    </row>
    <row r="487">
      <c r="A487" s="7">
        <v>482.0</v>
      </c>
      <c r="B487" s="7" t="s">
        <v>469</v>
      </c>
      <c r="C487" s="7" t="str">
        <f>IFERROR(__xludf.DUMMYFUNCTION("GOOGLETRANSLATE($B487, $A$2, $B$2)"),"19 days ago")</f>
        <v>19 days ago</v>
      </c>
      <c r="D487" s="7" t="s">
        <v>1298</v>
      </c>
      <c r="E487" s="7" t="s">
        <v>280</v>
      </c>
      <c r="F487" s="7" t="s">
        <v>886</v>
      </c>
      <c r="G487" s="7" t="s">
        <v>260</v>
      </c>
      <c r="H487" s="7" t="s">
        <v>261</v>
      </c>
      <c r="I487" s="7" t="s">
        <v>261</v>
      </c>
      <c r="J487" s="7" t="str">
        <f>IFERROR(__xludf.DUMMYFUNCTION("GOOGLETRANSLATE($I487, ""de"", ""en"")"),"NO SALARY DATA")</f>
        <v>NO SALARY DATA</v>
      </c>
      <c r="K487" s="7" t="s">
        <v>261</v>
      </c>
      <c r="L487" s="7" t="s">
        <v>777</v>
      </c>
      <c r="M487" s="7" t="s">
        <v>322</v>
      </c>
      <c r="N487" s="7" t="s">
        <v>275</v>
      </c>
      <c r="O487" s="7"/>
      <c r="P487" s="35"/>
      <c r="Q487" s="7"/>
    </row>
    <row r="488">
      <c r="A488" s="7">
        <v>483.0</v>
      </c>
      <c r="B488" s="7" t="s">
        <v>637</v>
      </c>
      <c r="C488" s="7" t="str">
        <f>IFERROR(__xludf.DUMMYFUNCTION("GOOGLETRANSLATE($B488, $A$2, $B$2)"),"17 days ago")</f>
        <v>17 days ago</v>
      </c>
      <c r="D488" s="7" t="s">
        <v>1113</v>
      </c>
      <c r="E488" s="7" t="s">
        <v>1114</v>
      </c>
      <c r="F488" s="7" t="s">
        <v>1115</v>
      </c>
      <c r="G488" s="7" t="s">
        <v>260</v>
      </c>
      <c r="H488" s="7" t="s">
        <v>261</v>
      </c>
      <c r="I488" s="7" t="s">
        <v>261</v>
      </c>
      <c r="J488" s="7" t="str">
        <f>IFERROR(__xludf.DUMMYFUNCTION("GOOGLETRANSLATE($I488, ""de"", ""en"")"),"NO SALARY DATA")</f>
        <v>NO SALARY DATA</v>
      </c>
      <c r="K488" s="7" t="s">
        <v>261</v>
      </c>
      <c r="L488" s="7" t="s">
        <v>321</v>
      </c>
      <c r="M488" s="7" t="s">
        <v>263</v>
      </c>
      <c r="N488" s="7" t="s">
        <v>725</v>
      </c>
      <c r="O488" s="7"/>
      <c r="P488" s="35"/>
      <c r="Q488" s="7"/>
    </row>
    <row r="489">
      <c r="A489" s="7">
        <v>484.0</v>
      </c>
      <c r="B489" s="7" t="s">
        <v>508</v>
      </c>
      <c r="C489" s="7" t="str">
        <f>IFERROR(__xludf.DUMMYFUNCTION("GOOGLETRANSLATE($B489, $A$2, $B$2)"),"24 days ago")</f>
        <v>24 days ago</v>
      </c>
      <c r="D489" s="7" t="s">
        <v>1299</v>
      </c>
      <c r="E489" s="7" t="s">
        <v>1300</v>
      </c>
      <c r="F489" s="7" t="s">
        <v>1301</v>
      </c>
      <c r="G489" s="7" t="s">
        <v>260</v>
      </c>
      <c r="H489" s="7" t="s">
        <v>261</v>
      </c>
      <c r="I489" s="7" t="s">
        <v>261</v>
      </c>
      <c r="J489" s="7" t="str">
        <f>IFERROR(__xludf.DUMMYFUNCTION("GOOGLETRANSLATE($I489, ""de"", ""en"")"),"NO SALARY DATA")</f>
        <v>NO SALARY DATA</v>
      </c>
      <c r="K489" s="7" t="s">
        <v>261</v>
      </c>
      <c r="L489" s="7" t="s">
        <v>312</v>
      </c>
      <c r="M489" s="7" t="s">
        <v>263</v>
      </c>
      <c r="N489" s="7" t="s">
        <v>323</v>
      </c>
      <c r="O489" s="7"/>
      <c r="P489" s="37"/>
      <c r="Q489" s="7"/>
    </row>
    <row r="490">
      <c r="A490" s="7">
        <v>485.0</v>
      </c>
      <c r="B490" s="7" t="s">
        <v>265</v>
      </c>
      <c r="C490" s="7" t="str">
        <f>IFERROR(__xludf.DUMMYFUNCTION("GOOGLETRANSLATE($B490, $A$2, $B$2)"),"More than 30 days ago")</f>
        <v>More than 30 days ago</v>
      </c>
      <c r="D490" s="7" t="s">
        <v>1302</v>
      </c>
      <c r="E490" s="7" t="s">
        <v>271</v>
      </c>
      <c r="F490" s="7" t="s">
        <v>1303</v>
      </c>
      <c r="G490" s="7" t="s">
        <v>1304</v>
      </c>
      <c r="H490" s="7">
        <v>40000.0</v>
      </c>
      <c r="I490" s="7" t="s">
        <v>384</v>
      </c>
      <c r="J490" s="7" t="str">
        <f>IFERROR(__xludf.DUMMYFUNCTION("GOOGLETRANSLATE($I490, ""de"", ""en"")"),"year")</f>
        <v>year</v>
      </c>
      <c r="K490" s="7">
        <v>40000.0</v>
      </c>
      <c r="L490" s="7" t="s">
        <v>282</v>
      </c>
      <c r="M490" s="7" t="s">
        <v>263</v>
      </c>
      <c r="N490" s="7" t="s">
        <v>260</v>
      </c>
      <c r="O490" s="7"/>
      <c r="P490" s="35"/>
      <c r="Q490" s="7"/>
    </row>
    <row r="491">
      <c r="A491" s="7">
        <v>486.0</v>
      </c>
      <c r="B491" s="7" t="s">
        <v>392</v>
      </c>
      <c r="C491" s="7" t="str">
        <f>IFERROR(__xludf.DUMMYFUNCTION("GOOGLETRANSLATE($B491, $A$2, $B$2)"),"10 days ago")</f>
        <v>10 days ago</v>
      </c>
      <c r="D491" s="7" t="s">
        <v>912</v>
      </c>
      <c r="E491" s="7" t="s">
        <v>629</v>
      </c>
      <c r="F491" s="7" t="s">
        <v>913</v>
      </c>
      <c r="G491" s="7" t="s">
        <v>260</v>
      </c>
      <c r="H491" s="7" t="s">
        <v>261</v>
      </c>
      <c r="I491" s="7" t="s">
        <v>261</v>
      </c>
      <c r="J491" s="7" t="str">
        <f>IFERROR(__xludf.DUMMYFUNCTION("GOOGLETRANSLATE($I491, ""de"", ""en"")"),"NO SALARY DATA")</f>
        <v>NO SALARY DATA</v>
      </c>
      <c r="K491" s="7" t="s">
        <v>261</v>
      </c>
      <c r="L491" s="7" t="s">
        <v>566</v>
      </c>
      <c r="M491" s="7" t="s">
        <v>287</v>
      </c>
      <c r="N491" s="7" t="s">
        <v>434</v>
      </c>
      <c r="O491" s="7"/>
      <c r="P491" s="37"/>
      <c r="Q491" s="7"/>
    </row>
    <row r="492">
      <c r="A492" s="7">
        <v>487.0</v>
      </c>
      <c r="B492" s="7" t="s">
        <v>269</v>
      </c>
      <c r="C492" s="7" t="str">
        <f>IFERROR(__xludf.DUMMYFUNCTION("GOOGLETRANSLATE($B492, $A$2, $B$2)"),"5 days ago")</f>
        <v>5 days ago</v>
      </c>
      <c r="D492" s="7" t="s">
        <v>1305</v>
      </c>
      <c r="E492" s="7" t="s">
        <v>280</v>
      </c>
      <c r="F492" s="7" t="s">
        <v>1306</v>
      </c>
      <c r="G492" s="7" t="s">
        <v>260</v>
      </c>
      <c r="H492" s="7" t="s">
        <v>261</v>
      </c>
      <c r="I492" s="7" t="s">
        <v>261</v>
      </c>
      <c r="J492" s="7" t="str">
        <f>IFERROR(__xludf.DUMMYFUNCTION("GOOGLETRANSLATE($I492, ""de"", ""en"")"),"NO SALARY DATA")</f>
        <v>NO SALARY DATA</v>
      </c>
      <c r="K492" s="7" t="s">
        <v>261</v>
      </c>
      <c r="L492" s="7" t="s">
        <v>345</v>
      </c>
      <c r="M492" s="7" t="s">
        <v>263</v>
      </c>
      <c r="N492" s="7" t="s">
        <v>260</v>
      </c>
      <c r="O492" s="7"/>
      <c r="P492" s="37"/>
      <c r="Q492" s="7"/>
    </row>
    <row r="493">
      <c r="A493" s="7">
        <v>488.0</v>
      </c>
      <c r="B493" s="7" t="s">
        <v>302</v>
      </c>
      <c r="C493" s="7" t="str">
        <f>IFERROR(__xludf.DUMMYFUNCTION("GOOGLETRANSLATE($B493, $A$2, $B$2)"),"today")</f>
        <v>today</v>
      </c>
      <c r="D493" s="7" t="s">
        <v>1307</v>
      </c>
      <c r="E493" s="7" t="s">
        <v>401</v>
      </c>
      <c r="F493" s="7" t="s">
        <v>1178</v>
      </c>
      <c r="G493" s="7" t="s">
        <v>260</v>
      </c>
      <c r="H493" s="7" t="s">
        <v>261</v>
      </c>
      <c r="I493" s="7" t="s">
        <v>261</v>
      </c>
      <c r="J493" s="7" t="str">
        <f>IFERROR(__xludf.DUMMYFUNCTION("GOOGLETRANSLATE($I493, ""de"", ""en"")"),"NO SALARY DATA")</f>
        <v>NO SALARY DATA</v>
      </c>
      <c r="K493" s="7" t="s">
        <v>261</v>
      </c>
      <c r="L493" s="7" t="s">
        <v>423</v>
      </c>
      <c r="M493" s="7" t="s">
        <v>263</v>
      </c>
      <c r="N493" s="7" t="s">
        <v>260</v>
      </c>
      <c r="O493" s="7"/>
      <c r="P493" s="37"/>
      <c r="Q493" s="7"/>
    </row>
    <row r="494">
      <c r="A494" s="7">
        <v>489.0</v>
      </c>
      <c r="B494" s="7" t="s">
        <v>256</v>
      </c>
      <c r="C494" s="7" t="str">
        <f>IFERROR(__xludf.DUMMYFUNCTION("GOOGLETRANSLATE($B494, $A$2, $B$2)"),"7 days ago")</f>
        <v>7 days ago</v>
      </c>
      <c r="D494" s="7" t="s">
        <v>1308</v>
      </c>
      <c r="E494" s="7" t="s">
        <v>1309</v>
      </c>
      <c r="F494" s="7" t="s">
        <v>1310</v>
      </c>
      <c r="G494" s="7" t="s">
        <v>260</v>
      </c>
      <c r="H494" s="7" t="s">
        <v>261</v>
      </c>
      <c r="I494" s="7" t="s">
        <v>261</v>
      </c>
      <c r="J494" s="7" t="str">
        <f>IFERROR(__xludf.DUMMYFUNCTION("GOOGLETRANSLATE($I494, ""de"", ""en"")"),"NO SALARY DATA")</f>
        <v>NO SALARY DATA</v>
      </c>
      <c r="K494" s="7" t="s">
        <v>261</v>
      </c>
      <c r="L494" s="7" t="s">
        <v>425</v>
      </c>
      <c r="M494" s="7" t="s">
        <v>263</v>
      </c>
      <c r="N494" s="7" t="s">
        <v>260</v>
      </c>
      <c r="O494" s="7"/>
      <c r="P494" s="35"/>
      <c r="Q494" s="7"/>
    </row>
    <row r="495">
      <c r="A495" s="7">
        <v>490.0</v>
      </c>
      <c r="B495" s="7" t="s">
        <v>265</v>
      </c>
      <c r="C495" s="7" t="str">
        <f>IFERROR(__xludf.DUMMYFUNCTION("GOOGLETRANSLATE($B495, $A$2, $B$2)"),"More than 30 days ago")</f>
        <v>More than 30 days ago</v>
      </c>
      <c r="D495" s="7" t="s">
        <v>1311</v>
      </c>
      <c r="E495" s="7" t="s">
        <v>348</v>
      </c>
      <c r="F495" s="7" t="s">
        <v>1312</v>
      </c>
      <c r="G495" s="7" t="s">
        <v>260</v>
      </c>
      <c r="H495" s="7" t="s">
        <v>261</v>
      </c>
      <c r="I495" s="7" t="s">
        <v>261</v>
      </c>
      <c r="J495" s="7" t="str">
        <f>IFERROR(__xludf.DUMMYFUNCTION("GOOGLETRANSLATE($I495, ""de"", ""en"")"),"NO SALARY DATA")</f>
        <v>NO SALARY DATA</v>
      </c>
      <c r="K495" s="7" t="s">
        <v>261</v>
      </c>
      <c r="L495" s="7" t="s">
        <v>1313</v>
      </c>
      <c r="M495" s="7" t="s">
        <v>263</v>
      </c>
      <c r="N495" s="7" t="s">
        <v>275</v>
      </c>
      <c r="O495" s="7"/>
      <c r="P495" s="37"/>
      <c r="Q495" s="7"/>
    </row>
    <row r="496">
      <c r="A496" s="7">
        <v>491.0</v>
      </c>
      <c r="B496" s="7" t="s">
        <v>265</v>
      </c>
      <c r="C496" s="7" t="str">
        <f>IFERROR(__xludf.DUMMYFUNCTION("GOOGLETRANSLATE($B496, $A$2, $B$2)"),"More than 30 days ago")</f>
        <v>More than 30 days ago</v>
      </c>
      <c r="D496" s="7" t="s">
        <v>1314</v>
      </c>
      <c r="E496" s="7" t="s">
        <v>1315</v>
      </c>
      <c r="F496" s="7" t="s">
        <v>1316</v>
      </c>
      <c r="G496" s="7" t="s">
        <v>260</v>
      </c>
      <c r="H496" s="7" t="s">
        <v>261</v>
      </c>
      <c r="I496" s="7" t="s">
        <v>261</v>
      </c>
      <c r="J496" s="7" t="str">
        <f>IFERROR(__xludf.DUMMYFUNCTION("GOOGLETRANSLATE($I496, ""de"", ""en"")"),"NO SALARY DATA")</f>
        <v>NO SALARY DATA</v>
      </c>
      <c r="K496" s="7" t="s">
        <v>261</v>
      </c>
      <c r="L496" s="7" t="s">
        <v>410</v>
      </c>
      <c r="M496" s="7" t="s">
        <v>263</v>
      </c>
      <c r="N496" s="7" t="s">
        <v>260</v>
      </c>
      <c r="O496" s="7"/>
      <c r="P496" s="37"/>
      <c r="Q496" s="7"/>
    </row>
    <row r="497">
      <c r="A497" s="7">
        <v>492.0</v>
      </c>
      <c r="B497" s="7" t="s">
        <v>892</v>
      </c>
      <c r="C497" s="7" t="str">
        <f>IFERROR(__xludf.DUMMYFUNCTION("GOOGLETRANSLATE($B497, $A$2, $B$2)"),"25 days ago")</f>
        <v>25 days ago</v>
      </c>
      <c r="D497" s="7" t="s">
        <v>1317</v>
      </c>
      <c r="E497" s="7" t="s">
        <v>271</v>
      </c>
      <c r="F497" s="7" t="s">
        <v>1318</v>
      </c>
      <c r="G497" s="7" t="s">
        <v>260</v>
      </c>
      <c r="H497" s="7" t="s">
        <v>261</v>
      </c>
      <c r="I497" s="7" t="s">
        <v>261</v>
      </c>
      <c r="J497" s="7" t="str">
        <f>IFERROR(__xludf.DUMMYFUNCTION("GOOGLETRANSLATE($I497, ""de"", ""en"")"),"NO SALARY DATA")</f>
        <v>NO SALARY DATA</v>
      </c>
      <c r="K497" s="7" t="s">
        <v>261</v>
      </c>
      <c r="L497" s="7" t="s">
        <v>646</v>
      </c>
      <c r="M497" s="7" t="s">
        <v>263</v>
      </c>
      <c r="N497" s="7" t="s">
        <v>260</v>
      </c>
      <c r="O497" s="7"/>
      <c r="P497" s="35"/>
      <c r="Q497" s="7"/>
    </row>
    <row r="498">
      <c r="A498" s="7">
        <v>493.0</v>
      </c>
      <c r="B498" s="7" t="s">
        <v>265</v>
      </c>
      <c r="C498" s="7" t="str">
        <f>IFERROR(__xludf.DUMMYFUNCTION("GOOGLETRANSLATE($B498, $A$2, $B$2)"),"More than 30 days ago")</f>
        <v>More than 30 days ago</v>
      </c>
      <c r="D498" s="7" t="s">
        <v>1319</v>
      </c>
      <c r="E498" s="7" t="s">
        <v>348</v>
      </c>
      <c r="F498" s="7" t="s">
        <v>1181</v>
      </c>
      <c r="G498" s="7" t="s">
        <v>260</v>
      </c>
      <c r="H498" s="7" t="s">
        <v>261</v>
      </c>
      <c r="I498" s="7" t="s">
        <v>261</v>
      </c>
      <c r="J498" s="7" t="str">
        <f>IFERROR(__xludf.DUMMYFUNCTION("GOOGLETRANSLATE($I498, ""de"", ""en"")"),"NO SALARY DATA")</f>
        <v>NO SALARY DATA</v>
      </c>
      <c r="K498" s="7" t="s">
        <v>261</v>
      </c>
      <c r="L498" s="7" t="s">
        <v>1320</v>
      </c>
      <c r="M498" s="7" t="s">
        <v>263</v>
      </c>
      <c r="N498" s="7" t="s">
        <v>264</v>
      </c>
      <c r="O498" s="7"/>
      <c r="P498" s="37"/>
      <c r="Q498" s="7"/>
    </row>
    <row r="499">
      <c r="A499" s="7">
        <v>494.0</v>
      </c>
      <c r="B499" s="7" t="s">
        <v>265</v>
      </c>
      <c r="C499" s="7" t="str">
        <f>IFERROR(__xludf.DUMMYFUNCTION("GOOGLETRANSLATE($B499, $A$2, $B$2)"),"More than 30 days ago")</f>
        <v>More than 30 days ago</v>
      </c>
      <c r="D499" s="7" t="s">
        <v>1321</v>
      </c>
      <c r="E499" s="7" t="s">
        <v>348</v>
      </c>
      <c r="F499" s="7" t="s">
        <v>1322</v>
      </c>
      <c r="G499" s="7" t="s">
        <v>260</v>
      </c>
      <c r="H499" s="7" t="s">
        <v>261</v>
      </c>
      <c r="I499" s="7" t="s">
        <v>261</v>
      </c>
      <c r="J499" s="7" t="str">
        <f>IFERROR(__xludf.DUMMYFUNCTION("GOOGLETRANSLATE($I499, ""de"", ""en"")"),"NO SALARY DATA")</f>
        <v>NO SALARY DATA</v>
      </c>
      <c r="K499" s="7" t="s">
        <v>261</v>
      </c>
      <c r="L499" s="7" t="s">
        <v>1323</v>
      </c>
      <c r="M499" s="7" t="s">
        <v>263</v>
      </c>
      <c r="N499" s="7" t="s">
        <v>260</v>
      </c>
      <c r="O499" s="7"/>
      <c r="P499" s="37"/>
      <c r="Q499" s="7"/>
    </row>
    <row r="500">
      <c r="A500" s="7">
        <v>495.0</v>
      </c>
      <c r="B500" s="7" t="s">
        <v>265</v>
      </c>
      <c r="C500" s="7" t="str">
        <f>IFERROR(__xludf.DUMMYFUNCTION("GOOGLETRANSLATE($B500, $A$2, $B$2)"),"More than 30 days ago")</f>
        <v>More than 30 days ago</v>
      </c>
      <c r="D500" s="7" t="s">
        <v>1324</v>
      </c>
      <c r="E500" s="7" t="s">
        <v>1325</v>
      </c>
      <c r="F500" s="7" t="s">
        <v>1326</v>
      </c>
      <c r="G500" s="7" t="s">
        <v>260</v>
      </c>
      <c r="H500" s="7" t="s">
        <v>261</v>
      </c>
      <c r="I500" s="7" t="s">
        <v>261</v>
      </c>
      <c r="J500" s="7" t="str">
        <f>IFERROR(__xludf.DUMMYFUNCTION("GOOGLETRANSLATE($I500, ""de"", ""en"")"),"NO SALARY DATA")</f>
        <v>NO SALARY DATA</v>
      </c>
      <c r="K500" s="7" t="s">
        <v>261</v>
      </c>
      <c r="L500" s="7" t="s">
        <v>312</v>
      </c>
      <c r="M500" s="7" t="s">
        <v>263</v>
      </c>
      <c r="N500" s="7" t="s">
        <v>260</v>
      </c>
      <c r="O500" s="7"/>
      <c r="P500" s="37"/>
      <c r="Q500" s="7"/>
    </row>
    <row r="501">
      <c r="A501" s="7">
        <v>496.0</v>
      </c>
      <c r="B501" s="7" t="s">
        <v>621</v>
      </c>
      <c r="C501" s="7" t="str">
        <f>IFERROR(__xludf.DUMMYFUNCTION("GOOGLETRANSLATE($B501, $A$2, $B$2)"),"20 days ago")</f>
        <v>20 days ago</v>
      </c>
      <c r="D501" s="7" t="s">
        <v>283</v>
      </c>
      <c r="E501" s="7" t="s">
        <v>858</v>
      </c>
      <c r="F501" s="7" t="s">
        <v>1327</v>
      </c>
      <c r="G501" s="7" t="s">
        <v>260</v>
      </c>
      <c r="H501" s="7" t="s">
        <v>261</v>
      </c>
      <c r="I501" s="7" t="s">
        <v>261</v>
      </c>
      <c r="J501" s="7" t="str">
        <f>IFERROR(__xludf.DUMMYFUNCTION("GOOGLETRANSLATE($I501, ""de"", ""en"")"),"NO SALARY DATA")</f>
        <v>NO SALARY DATA</v>
      </c>
      <c r="K501" s="7" t="s">
        <v>261</v>
      </c>
      <c r="L501" s="7" t="s">
        <v>943</v>
      </c>
      <c r="M501" s="7" t="s">
        <v>263</v>
      </c>
      <c r="N501" s="7" t="s">
        <v>260</v>
      </c>
      <c r="O501" s="7"/>
      <c r="P501" s="37"/>
      <c r="Q501" s="7"/>
    </row>
    <row r="502">
      <c r="A502" s="7">
        <v>497.0</v>
      </c>
      <c r="B502" s="7" t="s">
        <v>265</v>
      </c>
      <c r="C502" s="7" t="str">
        <f>IFERROR(__xludf.DUMMYFUNCTION("GOOGLETRANSLATE($B502, $A$2, $B$2)"),"More than 30 days ago")</f>
        <v>More than 30 days ago</v>
      </c>
      <c r="D502" s="7" t="s">
        <v>1328</v>
      </c>
      <c r="E502" s="7" t="s">
        <v>408</v>
      </c>
      <c r="F502" s="7" t="s">
        <v>1329</v>
      </c>
      <c r="G502" s="7" t="s">
        <v>260</v>
      </c>
      <c r="H502" s="7" t="s">
        <v>261</v>
      </c>
      <c r="I502" s="7" t="s">
        <v>261</v>
      </c>
      <c r="J502" s="7" t="str">
        <f>IFERROR(__xludf.DUMMYFUNCTION("GOOGLETRANSLATE($I502, ""de"", ""en"")"),"NO SALARY DATA")</f>
        <v>NO SALARY DATA</v>
      </c>
      <c r="K502" s="7" t="s">
        <v>261</v>
      </c>
      <c r="L502" s="7" t="s">
        <v>585</v>
      </c>
      <c r="M502" s="7" t="s">
        <v>263</v>
      </c>
      <c r="N502" s="7" t="s">
        <v>260</v>
      </c>
      <c r="O502" s="7"/>
      <c r="P502" s="35"/>
      <c r="Q502" s="7"/>
    </row>
    <row r="503">
      <c r="A503" s="7">
        <v>498.0</v>
      </c>
      <c r="B503" s="7" t="s">
        <v>637</v>
      </c>
      <c r="C503" s="7" t="str">
        <f>IFERROR(__xludf.DUMMYFUNCTION("GOOGLETRANSLATE($B503, $A$2, $B$2)"),"17 days ago")</f>
        <v>17 days ago</v>
      </c>
      <c r="D503" s="7" t="s">
        <v>1330</v>
      </c>
      <c r="E503" s="7" t="s">
        <v>1331</v>
      </c>
      <c r="F503" s="7" t="s">
        <v>1332</v>
      </c>
      <c r="G503" s="7" t="s">
        <v>260</v>
      </c>
      <c r="H503" s="7" t="s">
        <v>261</v>
      </c>
      <c r="I503" s="7" t="s">
        <v>261</v>
      </c>
      <c r="J503" s="7" t="str">
        <f>IFERROR(__xludf.DUMMYFUNCTION("GOOGLETRANSLATE($I503, ""de"", ""en"")"),"NO SALARY DATA")</f>
        <v>NO SALARY DATA</v>
      </c>
      <c r="K503" s="7" t="s">
        <v>261</v>
      </c>
      <c r="L503" s="7" t="s">
        <v>321</v>
      </c>
      <c r="M503" s="7" t="s">
        <v>263</v>
      </c>
      <c r="N503" s="7" t="s">
        <v>434</v>
      </c>
      <c r="O503" s="7"/>
      <c r="P503" s="37"/>
      <c r="Q503" s="7"/>
    </row>
    <row r="504">
      <c r="A504" s="7">
        <v>499.0</v>
      </c>
      <c r="B504" s="7" t="s">
        <v>265</v>
      </c>
      <c r="C504" s="7" t="str">
        <f>IFERROR(__xludf.DUMMYFUNCTION("GOOGLETRANSLATE($B504, $A$2, $B$2)"),"More than 30 days ago")</f>
        <v>More than 30 days ago</v>
      </c>
      <c r="D504" s="7" t="s">
        <v>328</v>
      </c>
      <c r="E504" s="7" t="s">
        <v>405</v>
      </c>
      <c r="F504" s="7" t="s">
        <v>1333</v>
      </c>
      <c r="G504" s="7" t="s">
        <v>260</v>
      </c>
      <c r="H504" s="7" t="s">
        <v>261</v>
      </c>
      <c r="I504" s="7" t="s">
        <v>261</v>
      </c>
      <c r="J504" s="7" t="str">
        <f>IFERROR(__xludf.DUMMYFUNCTION("GOOGLETRANSLATE($I504, ""de"", ""en"")"),"NO SALARY DATA")</f>
        <v>NO SALARY DATA</v>
      </c>
      <c r="K504" s="7" t="s">
        <v>261</v>
      </c>
      <c r="L504" s="7" t="s">
        <v>490</v>
      </c>
      <c r="M504" s="7" t="s">
        <v>263</v>
      </c>
      <c r="N504" s="7" t="s">
        <v>260</v>
      </c>
      <c r="O504" s="7"/>
      <c r="P504" s="35"/>
      <c r="Q504" s="7"/>
    </row>
    <row r="505">
      <c r="A505" s="7">
        <v>500.0</v>
      </c>
      <c r="B505" s="7" t="s">
        <v>265</v>
      </c>
      <c r="C505" s="7" t="str">
        <f>IFERROR(__xludf.DUMMYFUNCTION("GOOGLETRANSLATE($B505, $A$2, $B$2)"),"More than 30 days ago")</f>
        <v>More than 30 days ago</v>
      </c>
      <c r="D505" s="7" t="s">
        <v>1334</v>
      </c>
      <c r="E505" s="7" t="s">
        <v>343</v>
      </c>
      <c r="F505" s="7" t="s">
        <v>642</v>
      </c>
      <c r="G505" s="7" t="s">
        <v>260</v>
      </c>
      <c r="H505" s="7" t="s">
        <v>261</v>
      </c>
      <c r="I505" s="7" t="s">
        <v>261</v>
      </c>
      <c r="J505" s="7" t="str">
        <f>IFERROR(__xludf.DUMMYFUNCTION("GOOGLETRANSLATE($I505, ""de"", ""en"")"),"NO SALARY DATA")</f>
        <v>NO SALARY DATA</v>
      </c>
      <c r="K505" s="7" t="s">
        <v>261</v>
      </c>
      <c r="L505" s="7" t="s">
        <v>1230</v>
      </c>
      <c r="M505" s="7" t="s">
        <v>263</v>
      </c>
      <c r="N505" s="7" t="s">
        <v>275</v>
      </c>
      <c r="O505" s="7"/>
      <c r="P505" s="37"/>
      <c r="Q505" s="7"/>
    </row>
    <row r="506">
      <c r="A506" s="7">
        <v>501.0</v>
      </c>
      <c r="B506" s="7" t="s">
        <v>265</v>
      </c>
      <c r="C506" s="7" t="str">
        <f>IFERROR(__xludf.DUMMYFUNCTION("GOOGLETRANSLATE($B506, $A$2, $B$2)"),"More than 30 days ago")</f>
        <v>More than 30 days ago</v>
      </c>
      <c r="D506" s="7" t="s">
        <v>1335</v>
      </c>
      <c r="E506" s="7" t="s">
        <v>1336</v>
      </c>
      <c r="F506" s="7" t="s">
        <v>1337</v>
      </c>
      <c r="G506" s="7" t="s">
        <v>260</v>
      </c>
      <c r="H506" s="7" t="s">
        <v>261</v>
      </c>
      <c r="I506" s="7" t="s">
        <v>261</v>
      </c>
      <c r="J506" s="7" t="str">
        <f>IFERROR(__xludf.DUMMYFUNCTION("GOOGLETRANSLATE($I506, ""de"", ""en"")"),"NO SALARY DATA")</f>
        <v>NO SALARY DATA</v>
      </c>
      <c r="K506" s="7" t="s">
        <v>261</v>
      </c>
      <c r="L506" s="7" t="s">
        <v>777</v>
      </c>
      <c r="M506" s="7" t="s">
        <v>263</v>
      </c>
      <c r="N506" s="7" t="s">
        <v>260</v>
      </c>
      <c r="O506" s="7"/>
      <c r="P506" s="37"/>
      <c r="Q506" s="7"/>
    </row>
    <row r="507">
      <c r="A507" s="7">
        <v>502.0</v>
      </c>
      <c r="B507" s="7" t="s">
        <v>265</v>
      </c>
      <c r="C507" s="7" t="str">
        <f>IFERROR(__xludf.DUMMYFUNCTION("GOOGLETRANSLATE($B507, $A$2, $B$2)"),"More than 30 days ago")</f>
        <v>More than 30 days ago</v>
      </c>
      <c r="D507" s="7" t="s">
        <v>1338</v>
      </c>
      <c r="E507" s="7" t="s">
        <v>280</v>
      </c>
      <c r="F507" s="7" t="s">
        <v>1339</v>
      </c>
      <c r="G507" s="7" t="s">
        <v>260</v>
      </c>
      <c r="H507" s="7" t="s">
        <v>261</v>
      </c>
      <c r="I507" s="7" t="s">
        <v>261</v>
      </c>
      <c r="J507" s="7" t="str">
        <f>IFERROR(__xludf.DUMMYFUNCTION("GOOGLETRANSLATE($I507, ""de"", ""en"")"),"NO SALARY DATA")</f>
        <v>NO SALARY DATA</v>
      </c>
      <c r="K507" s="7" t="s">
        <v>261</v>
      </c>
      <c r="L507" s="7" t="s">
        <v>524</v>
      </c>
      <c r="M507" s="7" t="s">
        <v>452</v>
      </c>
      <c r="N507" s="7" t="s">
        <v>260</v>
      </c>
      <c r="O507" s="7"/>
      <c r="P507" s="37"/>
      <c r="Q507" s="7"/>
    </row>
    <row r="508">
      <c r="A508" s="7">
        <v>503.0</v>
      </c>
      <c r="B508" s="7" t="s">
        <v>265</v>
      </c>
      <c r="C508" s="7" t="str">
        <f>IFERROR(__xludf.DUMMYFUNCTION("GOOGLETRANSLATE($B508, $A$2, $B$2)"),"More than 30 days ago")</f>
        <v>More than 30 days ago</v>
      </c>
      <c r="D508" s="7" t="s">
        <v>1340</v>
      </c>
      <c r="E508" s="7" t="s">
        <v>439</v>
      </c>
      <c r="F508" s="7" t="s">
        <v>1341</v>
      </c>
      <c r="G508" s="7" t="s">
        <v>260</v>
      </c>
      <c r="H508" s="7" t="s">
        <v>261</v>
      </c>
      <c r="I508" s="7" t="s">
        <v>261</v>
      </c>
      <c r="J508" s="7" t="str">
        <f>IFERROR(__xludf.DUMMYFUNCTION("GOOGLETRANSLATE($I508, ""de"", ""en"")"),"NO SALARY DATA")</f>
        <v>NO SALARY DATA</v>
      </c>
      <c r="K508" s="7" t="s">
        <v>261</v>
      </c>
      <c r="L508" s="7" t="s">
        <v>1093</v>
      </c>
      <c r="M508" s="7" t="s">
        <v>263</v>
      </c>
      <c r="N508" s="7" t="s">
        <v>260</v>
      </c>
      <c r="O508" s="7"/>
      <c r="P508" s="35"/>
      <c r="Q508" s="7"/>
    </row>
    <row r="509">
      <c r="A509" s="7">
        <v>504.0</v>
      </c>
      <c r="B509" s="7" t="s">
        <v>265</v>
      </c>
      <c r="C509" s="7" t="str">
        <f>IFERROR(__xludf.DUMMYFUNCTION("GOOGLETRANSLATE($B509, $A$2, $B$2)"),"More than 30 days ago")</f>
        <v>More than 30 days ago</v>
      </c>
      <c r="D509" s="7" t="s">
        <v>1342</v>
      </c>
      <c r="E509" s="7" t="s">
        <v>858</v>
      </c>
      <c r="F509" s="7" t="s">
        <v>799</v>
      </c>
      <c r="G509" s="7" t="s">
        <v>260</v>
      </c>
      <c r="H509" s="7" t="s">
        <v>261</v>
      </c>
      <c r="I509" s="7" t="s">
        <v>261</v>
      </c>
      <c r="J509" s="7" t="str">
        <f>IFERROR(__xludf.DUMMYFUNCTION("GOOGLETRANSLATE($I509, ""de"", ""en"")"),"NO SALARY DATA")</f>
        <v>NO SALARY DATA</v>
      </c>
      <c r="K509" s="7" t="s">
        <v>261</v>
      </c>
      <c r="L509" s="7" t="s">
        <v>833</v>
      </c>
      <c r="M509" s="7" t="s">
        <v>322</v>
      </c>
      <c r="N509" s="7" t="s">
        <v>486</v>
      </c>
      <c r="O509" s="7"/>
      <c r="P509" s="37"/>
      <c r="Q509" s="7"/>
    </row>
    <row r="510">
      <c r="A510" s="7">
        <v>505.0</v>
      </c>
      <c r="B510" s="7" t="s">
        <v>292</v>
      </c>
      <c r="C510" s="7" t="str">
        <f>IFERROR(__xludf.DUMMYFUNCTION("GOOGLETRANSLATE($B510, $A$2, $B$2)"),"1 day ago")</f>
        <v>1 day ago</v>
      </c>
      <c r="D510" s="7" t="s">
        <v>1343</v>
      </c>
      <c r="E510" s="7" t="s">
        <v>258</v>
      </c>
      <c r="F510" s="7" t="s">
        <v>758</v>
      </c>
      <c r="G510" s="7" t="s">
        <v>260</v>
      </c>
      <c r="H510" s="7" t="s">
        <v>261</v>
      </c>
      <c r="I510" s="7" t="s">
        <v>261</v>
      </c>
      <c r="J510" s="7" t="str">
        <f>IFERROR(__xludf.DUMMYFUNCTION("GOOGLETRANSLATE($I510, ""de"", ""en"")"),"NO SALARY DATA")</f>
        <v>NO SALARY DATA</v>
      </c>
      <c r="K510" s="7" t="s">
        <v>261</v>
      </c>
      <c r="L510" s="7" t="s">
        <v>643</v>
      </c>
      <c r="M510" s="7" t="s">
        <v>452</v>
      </c>
      <c r="N510" s="7" t="s">
        <v>260</v>
      </c>
      <c r="O510" s="7"/>
      <c r="P510" s="35"/>
      <c r="Q510" s="7"/>
    </row>
    <row r="511">
      <c r="A511" s="7">
        <v>506.0</v>
      </c>
      <c r="B511" s="7" t="s">
        <v>265</v>
      </c>
      <c r="C511" s="7" t="str">
        <f>IFERROR(__xludf.DUMMYFUNCTION("GOOGLETRANSLATE($B511, $A$2, $B$2)"),"More than 30 days ago")</f>
        <v>More than 30 days ago</v>
      </c>
      <c r="D511" s="7" t="s">
        <v>1344</v>
      </c>
      <c r="E511" s="7" t="s">
        <v>271</v>
      </c>
      <c r="F511" s="7" t="s">
        <v>1345</v>
      </c>
      <c r="G511" s="7" t="s">
        <v>260</v>
      </c>
      <c r="H511" s="7" t="s">
        <v>261</v>
      </c>
      <c r="I511" s="7" t="s">
        <v>261</v>
      </c>
      <c r="J511" s="7" t="str">
        <f>IFERROR(__xludf.DUMMYFUNCTION("GOOGLETRANSLATE($I511, ""de"", ""en"")"),"NO SALARY DATA")</f>
        <v>NO SALARY DATA</v>
      </c>
      <c r="K511" s="7" t="s">
        <v>261</v>
      </c>
      <c r="L511" s="7" t="s">
        <v>643</v>
      </c>
      <c r="M511" s="7" t="s">
        <v>263</v>
      </c>
      <c r="N511" s="7" t="s">
        <v>301</v>
      </c>
      <c r="O511" s="7"/>
      <c r="P511" s="35"/>
      <c r="Q511" s="7"/>
    </row>
    <row r="512">
      <c r="A512" s="7">
        <v>507.0</v>
      </c>
      <c r="B512" s="7" t="s">
        <v>379</v>
      </c>
      <c r="C512" s="7" t="str">
        <f>IFERROR(__xludf.DUMMYFUNCTION("GOOGLETRANSLATE($B512, $A$2, $B$2)"),"13 days ago")</f>
        <v>13 days ago</v>
      </c>
      <c r="D512" s="7" t="s">
        <v>1346</v>
      </c>
      <c r="E512" s="7" t="s">
        <v>280</v>
      </c>
      <c r="F512" s="7" t="s">
        <v>922</v>
      </c>
      <c r="G512" s="7" t="s">
        <v>260</v>
      </c>
      <c r="H512" s="7" t="s">
        <v>261</v>
      </c>
      <c r="I512" s="7" t="s">
        <v>261</v>
      </c>
      <c r="J512" s="7" t="str">
        <f>IFERROR(__xludf.DUMMYFUNCTION("GOOGLETRANSLATE($I512, ""de"", ""en"")"),"NO SALARY DATA")</f>
        <v>NO SALARY DATA</v>
      </c>
      <c r="K512" s="7" t="s">
        <v>261</v>
      </c>
      <c r="L512" s="7" t="s">
        <v>327</v>
      </c>
      <c r="M512" s="7" t="s">
        <v>263</v>
      </c>
      <c r="N512" s="7" t="s">
        <v>725</v>
      </c>
      <c r="O512" s="7"/>
      <c r="P512" s="35"/>
      <c r="Q512" s="7"/>
    </row>
    <row r="513">
      <c r="A513" s="7">
        <v>508.0</v>
      </c>
      <c r="B513" s="7" t="s">
        <v>346</v>
      </c>
      <c r="C513" s="7" t="str">
        <f>IFERROR(__xludf.DUMMYFUNCTION("GOOGLETRANSLATE($B513, $A$2, $B$2)"),"12 days ago")</f>
        <v>12 days ago</v>
      </c>
      <c r="D513" s="7" t="s">
        <v>1347</v>
      </c>
      <c r="E513" s="7" t="s">
        <v>622</v>
      </c>
      <c r="F513" s="7" t="s">
        <v>652</v>
      </c>
      <c r="G513" s="7" t="s">
        <v>260</v>
      </c>
      <c r="H513" s="7" t="s">
        <v>261</v>
      </c>
      <c r="I513" s="7" t="s">
        <v>261</v>
      </c>
      <c r="J513" s="7" t="str">
        <f>IFERROR(__xludf.DUMMYFUNCTION("GOOGLETRANSLATE($I513, ""de"", ""en"")"),"NO SALARY DATA")</f>
        <v>NO SALARY DATA</v>
      </c>
      <c r="K513" s="7" t="s">
        <v>261</v>
      </c>
      <c r="L513" s="7" t="s">
        <v>1348</v>
      </c>
      <c r="M513" s="7" t="s">
        <v>274</v>
      </c>
      <c r="N513" s="7" t="s">
        <v>532</v>
      </c>
      <c r="O513" s="7"/>
      <c r="P513" s="35"/>
      <c r="Q513" s="7"/>
    </row>
    <row r="514">
      <c r="A514" s="7">
        <v>509.0</v>
      </c>
      <c r="B514" s="7" t="s">
        <v>332</v>
      </c>
      <c r="C514" s="7" t="str">
        <f>IFERROR(__xludf.DUMMYFUNCTION("GOOGLETRANSLATE($B514, $A$2, $B$2)"),"4 days ago")</f>
        <v>4 days ago</v>
      </c>
      <c r="D514" s="7" t="s">
        <v>1349</v>
      </c>
      <c r="E514" s="7" t="s">
        <v>1350</v>
      </c>
      <c r="F514" s="7" t="s">
        <v>1351</v>
      </c>
      <c r="G514" s="7" t="s">
        <v>260</v>
      </c>
      <c r="H514" s="7" t="s">
        <v>261</v>
      </c>
      <c r="I514" s="7" t="s">
        <v>261</v>
      </c>
      <c r="J514" s="7" t="str">
        <f>IFERROR(__xludf.DUMMYFUNCTION("GOOGLETRANSLATE($I514, ""de"", ""en"")"),"NO SALARY DATA")</f>
        <v>NO SALARY DATA</v>
      </c>
      <c r="K514" s="7" t="s">
        <v>261</v>
      </c>
      <c r="L514" s="7" t="s">
        <v>555</v>
      </c>
      <c r="M514" s="7" t="s">
        <v>263</v>
      </c>
      <c r="N514" s="7" t="s">
        <v>611</v>
      </c>
      <c r="O514" s="7"/>
      <c r="P514" s="37"/>
      <c r="Q514" s="7"/>
    </row>
    <row r="515">
      <c r="A515" s="7">
        <v>510.0</v>
      </c>
      <c r="B515" s="7" t="s">
        <v>265</v>
      </c>
      <c r="C515" s="7" t="str">
        <f>IFERROR(__xludf.DUMMYFUNCTION("GOOGLETRANSLATE($B515, $A$2, $B$2)"),"More than 30 days ago")</f>
        <v>More than 30 days ago</v>
      </c>
      <c r="D515" s="7" t="s">
        <v>1352</v>
      </c>
      <c r="E515" s="7" t="s">
        <v>271</v>
      </c>
      <c r="F515" s="7" t="s">
        <v>1353</v>
      </c>
      <c r="G515" s="7" t="s">
        <v>260</v>
      </c>
      <c r="H515" s="7" t="s">
        <v>261</v>
      </c>
      <c r="I515" s="7" t="s">
        <v>261</v>
      </c>
      <c r="J515" s="7" t="str">
        <f>IFERROR(__xludf.DUMMYFUNCTION("GOOGLETRANSLATE($I515, ""de"", ""en"")"),"NO SALARY DATA")</f>
        <v>NO SALARY DATA</v>
      </c>
      <c r="K515" s="7" t="s">
        <v>261</v>
      </c>
      <c r="L515" s="7" t="s">
        <v>312</v>
      </c>
      <c r="M515" s="7" t="s">
        <v>263</v>
      </c>
      <c r="N515" s="7" t="s">
        <v>260</v>
      </c>
      <c r="O515" s="7"/>
      <c r="P515" s="37"/>
      <c r="Q515" s="7"/>
    </row>
    <row r="516">
      <c r="A516" s="7">
        <v>511.0</v>
      </c>
      <c r="B516" s="7" t="s">
        <v>265</v>
      </c>
      <c r="C516" s="7" t="str">
        <f>IFERROR(__xludf.DUMMYFUNCTION("GOOGLETRANSLATE($B516, $A$2, $B$2)"),"More than 30 days ago")</f>
        <v>More than 30 days ago</v>
      </c>
      <c r="D516" s="7" t="s">
        <v>1354</v>
      </c>
      <c r="E516" s="7" t="s">
        <v>1355</v>
      </c>
      <c r="F516" s="7" t="s">
        <v>1356</v>
      </c>
      <c r="G516" s="7" t="s">
        <v>260</v>
      </c>
      <c r="H516" s="7" t="s">
        <v>261</v>
      </c>
      <c r="I516" s="7" t="s">
        <v>261</v>
      </c>
      <c r="J516" s="7" t="str">
        <f>IFERROR(__xludf.DUMMYFUNCTION("GOOGLETRANSLATE($I516, ""de"", ""en"")"),"NO SALARY DATA")</f>
        <v>NO SALARY DATA</v>
      </c>
      <c r="K516" s="7" t="s">
        <v>261</v>
      </c>
      <c r="L516" s="7" t="s">
        <v>1357</v>
      </c>
      <c r="M516" s="7" t="s">
        <v>263</v>
      </c>
      <c r="N516" s="7" t="s">
        <v>260</v>
      </c>
      <c r="O516" s="7"/>
      <c r="P516" s="37"/>
      <c r="Q516" s="7"/>
    </row>
    <row r="517">
      <c r="A517" s="7">
        <v>512.0</v>
      </c>
      <c r="B517" s="7" t="s">
        <v>265</v>
      </c>
      <c r="C517" s="7" t="str">
        <f>IFERROR(__xludf.DUMMYFUNCTION("GOOGLETRANSLATE($B517, $A$2, $B$2)"),"More than 30 days ago")</f>
        <v>More than 30 days ago</v>
      </c>
      <c r="D517" s="7" t="s">
        <v>1358</v>
      </c>
      <c r="E517" s="7" t="s">
        <v>1336</v>
      </c>
      <c r="F517" s="7" t="s">
        <v>1337</v>
      </c>
      <c r="G517" s="7" t="s">
        <v>260</v>
      </c>
      <c r="H517" s="7" t="s">
        <v>261</v>
      </c>
      <c r="I517" s="7" t="s">
        <v>261</v>
      </c>
      <c r="J517" s="7" t="str">
        <f>IFERROR(__xludf.DUMMYFUNCTION("GOOGLETRANSLATE($I517, ""de"", ""en"")"),"NO SALARY DATA")</f>
        <v>NO SALARY DATA</v>
      </c>
      <c r="K517" s="7" t="s">
        <v>261</v>
      </c>
      <c r="L517" s="7" t="s">
        <v>777</v>
      </c>
      <c r="M517" s="7" t="s">
        <v>263</v>
      </c>
      <c r="N517" s="7" t="s">
        <v>260</v>
      </c>
      <c r="O517" s="7"/>
      <c r="P517" s="37"/>
      <c r="Q517" s="7"/>
    </row>
    <row r="518">
      <c r="A518" s="7">
        <v>513.0</v>
      </c>
      <c r="B518" s="7" t="s">
        <v>265</v>
      </c>
      <c r="C518" s="7" t="str">
        <f>IFERROR(__xludf.DUMMYFUNCTION("GOOGLETRANSLATE($B518, $A$2, $B$2)"),"More than 30 days ago")</f>
        <v>More than 30 days ago</v>
      </c>
      <c r="D518" s="7" t="s">
        <v>1359</v>
      </c>
      <c r="E518" s="7" t="s">
        <v>480</v>
      </c>
      <c r="F518" s="7" t="s">
        <v>1360</v>
      </c>
      <c r="G518" s="7" t="s">
        <v>260</v>
      </c>
      <c r="H518" s="7" t="s">
        <v>261</v>
      </c>
      <c r="I518" s="7" t="s">
        <v>261</v>
      </c>
      <c r="J518" s="7" t="str">
        <f>IFERROR(__xludf.DUMMYFUNCTION("GOOGLETRANSLATE($I518, ""de"", ""en"")"),"NO SALARY DATA")</f>
        <v>NO SALARY DATA</v>
      </c>
      <c r="K518" s="7" t="s">
        <v>261</v>
      </c>
      <c r="L518" s="7" t="s">
        <v>649</v>
      </c>
      <c r="M518" s="7" t="s">
        <v>263</v>
      </c>
      <c r="N518" s="7" t="s">
        <v>260</v>
      </c>
      <c r="O518" s="7"/>
      <c r="P518" s="35"/>
      <c r="Q518" s="7"/>
    </row>
    <row r="519">
      <c r="A519" s="7">
        <v>514.0</v>
      </c>
      <c r="B519" s="7" t="s">
        <v>379</v>
      </c>
      <c r="C519" s="7" t="str">
        <f>IFERROR(__xludf.DUMMYFUNCTION("GOOGLETRANSLATE($B519, $A$2, $B$2)"),"13 days ago")</f>
        <v>13 days ago</v>
      </c>
      <c r="D519" s="7" t="s">
        <v>1361</v>
      </c>
      <c r="E519" s="7" t="s">
        <v>629</v>
      </c>
      <c r="F519" s="7" t="s">
        <v>1362</v>
      </c>
      <c r="G519" s="7" t="s">
        <v>260</v>
      </c>
      <c r="H519" s="7" t="s">
        <v>261</v>
      </c>
      <c r="I519" s="7" t="s">
        <v>261</v>
      </c>
      <c r="J519" s="7" t="str">
        <f>IFERROR(__xludf.DUMMYFUNCTION("GOOGLETRANSLATE($I519, ""de"", ""en"")"),"NO SALARY DATA")</f>
        <v>NO SALARY DATA</v>
      </c>
      <c r="K519" s="7" t="s">
        <v>261</v>
      </c>
      <c r="L519" s="7" t="s">
        <v>777</v>
      </c>
      <c r="M519" s="7" t="s">
        <v>673</v>
      </c>
      <c r="N519" s="7" t="s">
        <v>1169</v>
      </c>
      <c r="O519" s="7"/>
      <c r="P519" s="37"/>
      <c r="Q519" s="7"/>
    </row>
    <row r="520">
      <c r="A520" s="7">
        <v>515.0</v>
      </c>
      <c r="B520" s="7" t="s">
        <v>332</v>
      </c>
      <c r="C520" s="7" t="str">
        <f>IFERROR(__xludf.DUMMYFUNCTION("GOOGLETRANSLATE($B520, $A$2, $B$2)"),"4 days ago")</f>
        <v>4 days ago</v>
      </c>
      <c r="D520" s="7" t="s">
        <v>1363</v>
      </c>
      <c r="E520" s="7" t="s">
        <v>280</v>
      </c>
      <c r="F520" s="7" t="s">
        <v>1364</v>
      </c>
      <c r="G520" s="7" t="s">
        <v>260</v>
      </c>
      <c r="H520" s="7" t="s">
        <v>261</v>
      </c>
      <c r="I520" s="7" t="s">
        <v>261</v>
      </c>
      <c r="J520" s="7" t="str">
        <f>IFERROR(__xludf.DUMMYFUNCTION("GOOGLETRANSLATE($I520, ""de"", ""en"")"),"NO SALARY DATA")</f>
        <v>NO SALARY DATA</v>
      </c>
      <c r="K520" s="7" t="s">
        <v>261</v>
      </c>
      <c r="L520" s="7" t="s">
        <v>429</v>
      </c>
      <c r="M520" s="7" t="s">
        <v>263</v>
      </c>
      <c r="N520" s="7" t="s">
        <v>260</v>
      </c>
      <c r="O520" s="7"/>
      <c r="P520" s="37"/>
      <c r="Q520" s="7"/>
    </row>
    <row r="521">
      <c r="A521" s="7">
        <v>516.0</v>
      </c>
      <c r="B521" s="7" t="s">
        <v>265</v>
      </c>
      <c r="C521" s="7" t="str">
        <f>IFERROR(__xludf.DUMMYFUNCTION("GOOGLETRANSLATE($B521, $A$2, $B$2)"),"More than 30 days ago")</f>
        <v>More than 30 days ago</v>
      </c>
      <c r="D521" s="7" t="s">
        <v>1365</v>
      </c>
      <c r="E521" s="7" t="s">
        <v>1355</v>
      </c>
      <c r="F521" s="7" t="s">
        <v>1356</v>
      </c>
      <c r="G521" s="7" t="s">
        <v>260</v>
      </c>
      <c r="H521" s="7" t="s">
        <v>261</v>
      </c>
      <c r="I521" s="7" t="s">
        <v>261</v>
      </c>
      <c r="J521" s="7" t="str">
        <f>IFERROR(__xludf.DUMMYFUNCTION("GOOGLETRANSLATE($I521, ""de"", ""en"")"),"NO SALARY DATA")</f>
        <v>NO SALARY DATA</v>
      </c>
      <c r="K521" s="7" t="s">
        <v>261</v>
      </c>
      <c r="L521" s="7" t="s">
        <v>1366</v>
      </c>
      <c r="M521" s="7" t="s">
        <v>263</v>
      </c>
      <c r="N521" s="7" t="s">
        <v>260</v>
      </c>
      <c r="O521" s="7"/>
      <c r="P521" s="35"/>
      <c r="Q521" s="7"/>
    </row>
    <row r="522">
      <c r="A522" s="7">
        <v>517.0</v>
      </c>
      <c r="B522" s="7" t="s">
        <v>265</v>
      </c>
      <c r="C522" s="7" t="str">
        <f>IFERROR(__xludf.DUMMYFUNCTION("GOOGLETRANSLATE($B522, $A$2, $B$2)"),"More than 30 days ago")</f>
        <v>More than 30 days ago</v>
      </c>
      <c r="D522" s="7" t="s">
        <v>487</v>
      </c>
      <c r="E522" s="7" t="s">
        <v>488</v>
      </c>
      <c r="F522" s="7" t="s">
        <v>489</v>
      </c>
      <c r="G522" s="7" t="s">
        <v>260</v>
      </c>
      <c r="H522" s="7" t="s">
        <v>261</v>
      </c>
      <c r="I522" s="7" t="s">
        <v>261</v>
      </c>
      <c r="J522" s="7" t="str">
        <f>IFERROR(__xludf.DUMMYFUNCTION("GOOGLETRANSLATE($I522, ""de"", ""en"")"),"NO SALARY DATA")</f>
        <v>NO SALARY DATA</v>
      </c>
      <c r="K522" s="7" t="s">
        <v>261</v>
      </c>
      <c r="L522" s="7" t="s">
        <v>490</v>
      </c>
      <c r="M522" s="7" t="s">
        <v>263</v>
      </c>
      <c r="N522" s="7" t="s">
        <v>491</v>
      </c>
      <c r="O522" s="7"/>
      <c r="P522" s="37"/>
      <c r="Q522" s="7"/>
    </row>
    <row r="523">
      <c r="A523" s="7">
        <v>518.0</v>
      </c>
      <c r="B523" s="7" t="s">
        <v>256</v>
      </c>
      <c r="C523" s="7" t="str">
        <f>IFERROR(__xludf.DUMMYFUNCTION("GOOGLETRANSLATE($B523, $A$2, $B$2)"),"7 days ago")</f>
        <v>7 days ago</v>
      </c>
      <c r="D523" s="7" t="s">
        <v>982</v>
      </c>
      <c r="E523" s="7" t="s">
        <v>348</v>
      </c>
      <c r="F523" s="7" t="s">
        <v>983</v>
      </c>
      <c r="G523" s="7" t="s">
        <v>260</v>
      </c>
      <c r="H523" s="7" t="s">
        <v>261</v>
      </c>
      <c r="I523" s="7" t="s">
        <v>261</v>
      </c>
      <c r="J523" s="7" t="str">
        <f>IFERROR(__xludf.DUMMYFUNCTION("GOOGLETRANSLATE($I523, ""de"", ""en"")"),"NO SALARY DATA")</f>
        <v>NO SALARY DATA</v>
      </c>
      <c r="K523" s="7" t="s">
        <v>261</v>
      </c>
      <c r="L523" s="7" t="s">
        <v>321</v>
      </c>
      <c r="M523" s="7" t="s">
        <v>263</v>
      </c>
      <c r="N523" s="7" t="s">
        <v>260</v>
      </c>
      <c r="O523" s="7"/>
      <c r="P523" s="37"/>
      <c r="Q523" s="7"/>
    </row>
    <row r="524">
      <c r="A524" s="7">
        <v>519.0</v>
      </c>
      <c r="B524" s="7" t="s">
        <v>265</v>
      </c>
      <c r="C524" s="7" t="str">
        <f>IFERROR(__xludf.DUMMYFUNCTION("GOOGLETRANSLATE($B524, $A$2, $B$2)"),"More than 30 days ago")</f>
        <v>More than 30 days ago</v>
      </c>
      <c r="D524" s="7" t="s">
        <v>1063</v>
      </c>
      <c r="E524" s="7" t="s">
        <v>258</v>
      </c>
      <c r="F524" s="7" t="s">
        <v>1367</v>
      </c>
      <c r="G524" s="7" t="s">
        <v>260</v>
      </c>
      <c r="H524" s="7" t="s">
        <v>261</v>
      </c>
      <c r="I524" s="7" t="s">
        <v>261</v>
      </c>
      <c r="J524" s="7" t="str">
        <f>IFERROR(__xludf.DUMMYFUNCTION("GOOGLETRANSLATE($I524, ""de"", ""en"")"),"NO SALARY DATA")</f>
        <v>NO SALARY DATA</v>
      </c>
      <c r="K524" s="7" t="s">
        <v>261</v>
      </c>
      <c r="L524" s="7" t="s">
        <v>345</v>
      </c>
      <c r="M524" s="7" t="s">
        <v>263</v>
      </c>
      <c r="N524" s="7" t="s">
        <v>260</v>
      </c>
      <c r="O524" s="7"/>
      <c r="P524" s="37"/>
      <c r="Q524" s="7"/>
    </row>
    <row r="525">
      <c r="A525" s="7">
        <v>520.0</v>
      </c>
      <c r="B525" s="7" t="s">
        <v>265</v>
      </c>
      <c r="C525" s="7" t="str">
        <f>IFERROR(__xludf.DUMMYFUNCTION("GOOGLETRANSLATE($B525, $A$2, $B$2)"),"More than 30 days ago")</f>
        <v>More than 30 days ago</v>
      </c>
      <c r="D525" s="7" t="s">
        <v>1368</v>
      </c>
      <c r="E525" s="7" t="s">
        <v>343</v>
      </c>
      <c r="F525" s="7" t="s">
        <v>1369</v>
      </c>
      <c r="G525" s="7" t="s">
        <v>260</v>
      </c>
      <c r="H525" s="7" t="s">
        <v>261</v>
      </c>
      <c r="I525" s="7" t="s">
        <v>261</v>
      </c>
      <c r="J525" s="7" t="str">
        <f>IFERROR(__xludf.DUMMYFUNCTION("GOOGLETRANSLATE($I525, ""de"", ""en"")"),"NO SALARY DATA")</f>
        <v>NO SALARY DATA</v>
      </c>
      <c r="K525" s="7" t="s">
        <v>261</v>
      </c>
      <c r="L525" s="7"/>
      <c r="M525" s="7" t="s">
        <v>263</v>
      </c>
      <c r="N525" s="7" t="s">
        <v>260</v>
      </c>
      <c r="O525" s="7"/>
      <c r="P525" s="37"/>
      <c r="Q525" s="7"/>
    </row>
    <row r="526">
      <c r="A526" s="7">
        <v>521.0</v>
      </c>
      <c r="B526" s="7" t="s">
        <v>346</v>
      </c>
      <c r="C526" s="7" t="str">
        <f>IFERROR(__xludf.DUMMYFUNCTION("GOOGLETRANSLATE($B526, $A$2, $B$2)"),"12 days ago")</f>
        <v>12 days ago</v>
      </c>
      <c r="D526" s="7" t="s">
        <v>1370</v>
      </c>
      <c r="E526" s="7" t="s">
        <v>1371</v>
      </c>
      <c r="F526" s="7" t="s">
        <v>1372</v>
      </c>
      <c r="G526" s="7" t="s">
        <v>260</v>
      </c>
      <c r="H526" s="7" t="s">
        <v>261</v>
      </c>
      <c r="I526" s="7" t="s">
        <v>261</v>
      </c>
      <c r="J526" s="7" t="str">
        <f>IFERROR(__xludf.DUMMYFUNCTION("GOOGLETRANSLATE($I526, ""de"", ""en"")"),"NO SALARY DATA")</f>
        <v>NO SALARY DATA</v>
      </c>
      <c r="K526" s="7" t="s">
        <v>261</v>
      </c>
      <c r="L526" s="7" t="s">
        <v>1373</v>
      </c>
      <c r="M526" s="7" t="s">
        <v>263</v>
      </c>
      <c r="N526" s="7" t="s">
        <v>260</v>
      </c>
      <c r="O526" s="7"/>
      <c r="P526" s="35"/>
      <c r="Q526" s="7"/>
    </row>
    <row r="527">
      <c r="A527" s="7">
        <v>522.0</v>
      </c>
      <c r="B527" s="7" t="s">
        <v>442</v>
      </c>
      <c r="C527" s="7" t="str">
        <f>IFERROR(__xludf.DUMMYFUNCTION("GOOGLETRANSLATE($B527, $A$2, $B$2)"),"26 days ago")</f>
        <v>26 days ago</v>
      </c>
      <c r="D527" s="7" t="s">
        <v>1180</v>
      </c>
      <c r="E527" s="7" t="s">
        <v>348</v>
      </c>
      <c r="F527" s="7" t="s">
        <v>1181</v>
      </c>
      <c r="G527" s="7" t="s">
        <v>260</v>
      </c>
      <c r="H527" s="7" t="s">
        <v>261</v>
      </c>
      <c r="I527" s="7" t="s">
        <v>261</v>
      </c>
      <c r="J527" s="7" t="str">
        <f>IFERROR(__xludf.DUMMYFUNCTION("GOOGLETRANSLATE($I527, ""de"", ""en"")"),"NO SALARY DATA")</f>
        <v>NO SALARY DATA</v>
      </c>
      <c r="K527" s="7" t="s">
        <v>261</v>
      </c>
      <c r="L527" s="7" t="s">
        <v>569</v>
      </c>
      <c r="M527" s="7" t="s">
        <v>263</v>
      </c>
      <c r="N527" s="7" t="s">
        <v>264</v>
      </c>
      <c r="O527" s="7"/>
      <c r="P527" s="35"/>
      <c r="Q527" s="7"/>
    </row>
    <row r="528">
      <c r="A528" s="7">
        <v>523.0</v>
      </c>
      <c r="B528" s="7" t="s">
        <v>265</v>
      </c>
      <c r="C528" s="7" t="str">
        <f>IFERROR(__xludf.DUMMYFUNCTION("GOOGLETRANSLATE($B528, $A$2, $B$2)"),"More than 30 days ago")</f>
        <v>More than 30 days ago</v>
      </c>
      <c r="D528" s="7" t="s">
        <v>1374</v>
      </c>
      <c r="E528" s="7" t="s">
        <v>488</v>
      </c>
      <c r="F528" s="7" t="s">
        <v>489</v>
      </c>
      <c r="G528" s="7" t="s">
        <v>260</v>
      </c>
      <c r="H528" s="7" t="s">
        <v>261</v>
      </c>
      <c r="I528" s="7" t="s">
        <v>261</v>
      </c>
      <c r="J528" s="7" t="str">
        <f>IFERROR(__xludf.DUMMYFUNCTION("GOOGLETRANSLATE($I528, ""de"", ""en"")"),"NO SALARY DATA")</f>
        <v>NO SALARY DATA</v>
      </c>
      <c r="K528" s="7" t="s">
        <v>261</v>
      </c>
      <c r="L528" s="7" t="s">
        <v>690</v>
      </c>
      <c r="M528" s="7" t="s">
        <v>263</v>
      </c>
      <c r="N528" s="7" t="s">
        <v>491</v>
      </c>
      <c r="O528" s="7"/>
      <c r="P528" s="37"/>
      <c r="Q528" s="7"/>
    </row>
    <row r="529">
      <c r="A529" s="7">
        <v>524.0</v>
      </c>
      <c r="B529" s="7" t="s">
        <v>265</v>
      </c>
      <c r="C529" s="7" t="str">
        <f>IFERROR(__xludf.DUMMYFUNCTION("GOOGLETRANSLATE($B529, $A$2, $B$2)"),"More than 30 days ago")</f>
        <v>More than 30 days ago</v>
      </c>
      <c r="D529" s="7" t="s">
        <v>1375</v>
      </c>
      <c r="E529" s="7" t="s">
        <v>343</v>
      </c>
      <c r="F529" s="7" t="s">
        <v>1376</v>
      </c>
      <c r="G529" s="7" t="s">
        <v>260</v>
      </c>
      <c r="H529" s="7" t="s">
        <v>261</v>
      </c>
      <c r="I529" s="7" t="s">
        <v>261</v>
      </c>
      <c r="J529" s="7" t="str">
        <f>IFERROR(__xludf.DUMMYFUNCTION("GOOGLETRANSLATE($I529, ""de"", ""en"")"),"NO SALARY DATA")</f>
        <v>NO SALARY DATA</v>
      </c>
      <c r="K529" s="7" t="s">
        <v>261</v>
      </c>
      <c r="L529" s="7" t="s">
        <v>1065</v>
      </c>
      <c r="M529" s="7" t="s">
        <v>263</v>
      </c>
      <c r="N529" s="7" t="s">
        <v>260</v>
      </c>
      <c r="O529" s="7"/>
      <c r="P529" s="35"/>
      <c r="Q529" s="7"/>
    </row>
    <row r="530">
      <c r="A530" s="7">
        <v>525.0</v>
      </c>
      <c r="B530" s="7" t="s">
        <v>371</v>
      </c>
      <c r="C530" s="7" t="str">
        <f>IFERROR(__xludf.DUMMYFUNCTION("GOOGLETRANSLATE($B530, $A$2, $B$2)"),"Straight")</f>
        <v>Straight</v>
      </c>
      <c r="D530" s="7" t="s">
        <v>1377</v>
      </c>
      <c r="E530" s="7" t="s">
        <v>587</v>
      </c>
      <c r="F530" s="7" t="s">
        <v>224</v>
      </c>
      <c r="G530" s="7" t="s">
        <v>260</v>
      </c>
      <c r="H530" s="7" t="s">
        <v>261</v>
      </c>
      <c r="I530" s="7" t="s">
        <v>261</v>
      </c>
      <c r="J530" s="7" t="str">
        <f>IFERROR(__xludf.DUMMYFUNCTION("GOOGLETRANSLATE($I530, ""de"", ""en"")"),"NO SALARY DATA")</f>
        <v>NO SALARY DATA</v>
      </c>
      <c r="K530" s="7" t="s">
        <v>261</v>
      </c>
      <c r="L530" s="7" t="s">
        <v>286</v>
      </c>
      <c r="M530" s="7" t="s">
        <v>263</v>
      </c>
      <c r="N530" s="7" t="s">
        <v>331</v>
      </c>
      <c r="O530" s="7"/>
      <c r="P530" s="35"/>
      <c r="Q530" s="7"/>
    </row>
    <row r="531">
      <c r="A531" s="7">
        <v>526.0</v>
      </c>
      <c r="B531" s="7" t="s">
        <v>559</v>
      </c>
      <c r="C531" s="7" t="str">
        <f>IFERROR(__xludf.DUMMYFUNCTION("GOOGLETRANSLATE($B531, $A$2, $B$2)"),"18 days ago")</f>
        <v>18 days ago</v>
      </c>
      <c r="D531" s="7" t="s">
        <v>1378</v>
      </c>
      <c r="E531" s="7" t="s">
        <v>280</v>
      </c>
      <c r="F531" s="7" t="s">
        <v>329</v>
      </c>
      <c r="G531" s="7" t="s">
        <v>260</v>
      </c>
      <c r="H531" s="7" t="s">
        <v>261</v>
      </c>
      <c r="I531" s="7" t="s">
        <v>261</v>
      </c>
      <c r="J531" s="7" t="str">
        <f>IFERROR(__xludf.DUMMYFUNCTION("GOOGLETRANSLATE($I531, ""de"", ""en"")"),"NO SALARY DATA")</f>
        <v>NO SALARY DATA</v>
      </c>
      <c r="K531" s="7" t="s">
        <v>261</v>
      </c>
      <c r="L531" s="7" t="s">
        <v>553</v>
      </c>
      <c r="M531" s="7" t="s">
        <v>263</v>
      </c>
      <c r="N531" s="7" t="s">
        <v>331</v>
      </c>
      <c r="O531" s="7"/>
      <c r="P531" s="35"/>
      <c r="Q531" s="7"/>
    </row>
    <row r="532">
      <c r="A532" s="7">
        <v>527.0</v>
      </c>
      <c r="B532" s="7" t="s">
        <v>265</v>
      </c>
      <c r="C532" s="7" t="str">
        <f>IFERROR(__xludf.DUMMYFUNCTION("GOOGLETRANSLATE($B532, $A$2, $B$2)"),"More than 30 days ago")</f>
        <v>More than 30 days ago</v>
      </c>
      <c r="D532" s="7" t="s">
        <v>1379</v>
      </c>
      <c r="E532" s="7" t="s">
        <v>258</v>
      </c>
      <c r="F532" s="7" t="s">
        <v>338</v>
      </c>
      <c r="G532" s="7" t="s">
        <v>260</v>
      </c>
      <c r="H532" s="7" t="s">
        <v>261</v>
      </c>
      <c r="I532" s="7" t="s">
        <v>261</v>
      </c>
      <c r="J532" s="7" t="str">
        <f>IFERROR(__xludf.DUMMYFUNCTION("GOOGLETRANSLATE($I532, ""de"", ""en"")"),"NO SALARY DATA")</f>
        <v>NO SALARY DATA</v>
      </c>
      <c r="K532" s="7" t="s">
        <v>261</v>
      </c>
      <c r="L532" s="7" t="s">
        <v>339</v>
      </c>
      <c r="M532" s="7" t="s">
        <v>263</v>
      </c>
      <c r="N532" s="7" t="s">
        <v>340</v>
      </c>
      <c r="O532" s="7"/>
      <c r="P532" s="37"/>
      <c r="Q532" s="7"/>
    </row>
    <row r="533">
      <c r="A533" s="7">
        <v>528.0</v>
      </c>
      <c r="B533" s="7" t="s">
        <v>265</v>
      </c>
      <c r="C533" s="7" t="str">
        <f>IFERROR(__xludf.DUMMYFUNCTION("GOOGLETRANSLATE($B533, $A$2, $B$2)"),"More than 30 days ago")</f>
        <v>More than 30 days ago</v>
      </c>
      <c r="D533" s="7" t="s">
        <v>1380</v>
      </c>
      <c r="E533" s="7" t="s">
        <v>258</v>
      </c>
      <c r="F533" s="7" t="s">
        <v>1381</v>
      </c>
      <c r="G533" s="7" t="s">
        <v>260</v>
      </c>
      <c r="H533" s="7" t="s">
        <v>261</v>
      </c>
      <c r="I533" s="7" t="s">
        <v>261</v>
      </c>
      <c r="J533" s="7" t="str">
        <f>IFERROR(__xludf.DUMMYFUNCTION("GOOGLETRANSLATE($I533, ""de"", ""en"")"),"NO SALARY DATA")</f>
        <v>NO SALARY DATA</v>
      </c>
      <c r="K533" s="7" t="s">
        <v>261</v>
      </c>
      <c r="L533" s="7" t="s">
        <v>1382</v>
      </c>
      <c r="M533" s="7" t="s">
        <v>263</v>
      </c>
      <c r="N533" s="7" t="s">
        <v>260</v>
      </c>
      <c r="O533" s="7"/>
      <c r="P533" s="35"/>
      <c r="Q533" s="7"/>
    </row>
    <row r="534">
      <c r="A534" s="7">
        <v>529.0</v>
      </c>
      <c r="B534" s="7" t="s">
        <v>324</v>
      </c>
      <c r="C534" s="7" t="str">
        <f>IFERROR(__xludf.DUMMYFUNCTION("GOOGLETRANSLATE($B534, $A$2, $B$2)"),"3 days ago")</f>
        <v>3 days ago</v>
      </c>
      <c r="D534" s="7" t="s">
        <v>1383</v>
      </c>
      <c r="E534" s="7" t="s">
        <v>401</v>
      </c>
      <c r="F534" s="7" t="s">
        <v>1384</v>
      </c>
      <c r="G534" s="7" t="s">
        <v>260</v>
      </c>
      <c r="H534" s="7" t="s">
        <v>261</v>
      </c>
      <c r="I534" s="7" t="s">
        <v>261</v>
      </c>
      <c r="J534" s="7" t="str">
        <f>IFERROR(__xludf.DUMMYFUNCTION("GOOGLETRANSLATE($I534, ""de"", ""en"")"),"NO SALARY DATA")</f>
        <v>NO SALARY DATA</v>
      </c>
      <c r="K534" s="7" t="s">
        <v>261</v>
      </c>
      <c r="L534" s="7" t="s">
        <v>585</v>
      </c>
      <c r="M534" s="7" t="s">
        <v>263</v>
      </c>
      <c r="N534" s="7" t="s">
        <v>1385</v>
      </c>
      <c r="O534" s="7"/>
      <c r="P534" s="37"/>
      <c r="Q534" s="7"/>
    </row>
    <row r="535">
      <c r="A535" s="7">
        <v>530.0</v>
      </c>
      <c r="B535" s="7" t="s">
        <v>265</v>
      </c>
      <c r="C535" s="7" t="str">
        <f>IFERROR(__xludf.DUMMYFUNCTION("GOOGLETRANSLATE($B535, $A$2, $B$2)"),"More than 30 days ago")</f>
        <v>More than 30 days ago</v>
      </c>
      <c r="D535" s="7" t="s">
        <v>276</v>
      </c>
      <c r="E535" s="7" t="s">
        <v>271</v>
      </c>
      <c r="F535" s="7" t="s">
        <v>1386</v>
      </c>
      <c r="G535" s="7" t="s">
        <v>260</v>
      </c>
      <c r="H535" s="7" t="s">
        <v>261</v>
      </c>
      <c r="I535" s="7" t="s">
        <v>261</v>
      </c>
      <c r="J535" s="7" t="str">
        <f>IFERROR(__xludf.DUMMYFUNCTION("GOOGLETRANSLATE($I535, ""de"", ""en"")"),"NO SALARY DATA")</f>
        <v>NO SALARY DATA</v>
      </c>
      <c r="K535" s="7" t="s">
        <v>261</v>
      </c>
      <c r="L535" s="7" t="s">
        <v>1179</v>
      </c>
      <c r="M535" s="7" t="s">
        <v>263</v>
      </c>
      <c r="N535" s="7" t="s">
        <v>260</v>
      </c>
      <c r="O535" s="7"/>
      <c r="P535" s="35"/>
      <c r="Q535" s="7"/>
    </row>
    <row r="536">
      <c r="A536" s="7">
        <v>531.0</v>
      </c>
      <c r="B536" s="7" t="s">
        <v>265</v>
      </c>
      <c r="C536" s="7" t="str">
        <f>IFERROR(__xludf.DUMMYFUNCTION("GOOGLETRANSLATE($B536, $A$2, $B$2)"),"More than 30 days ago")</f>
        <v>More than 30 days ago</v>
      </c>
      <c r="D536" s="7" t="s">
        <v>1387</v>
      </c>
      <c r="E536" s="7" t="s">
        <v>1388</v>
      </c>
      <c r="F536" s="7" t="s">
        <v>1389</v>
      </c>
      <c r="G536" s="7" t="s">
        <v>260</v>
      </c>
      <c r="H536" s="7" t="s">
        <v>261</v>
      </c>
      <c r="I536" s="7" t="s">
        <v>261</v>
      </c>
      <c r="J536" s="7" t="str">
        <f>IFERROR(__xludf.DUMMYFUNCTION("GOOGLETRANSLATE($I536, ""de"", ""en"")"),"NO SALARY DATA")</f>
        <v>NO SALARY DATA</v>
      </c>
      <c r="K536" s="7" t="s">
        <v>261</v>
      </c>
      <c r="L536" s="7" t="s">
        <v>649</v>
      </c>
      <c r="M536" s="7" t="s">
        <v>263</v>
      </c>
      <c r="N536" s="7" t="s">
        <v>819</v>
      </c>
      <c r="O536" s="7"/>
      <c r="P536" s="37"/>
      <c r="Q536" s="7"/>
    </row>
    <row r="537">
      <c r="A537" s="7">
        <v>532.0</v>
      </c>
      <c r="B537" s="7" t="s">
        <v>265</v>
      </c>
      <c r="C537" s="7" t="str">
        <f>IFERROR(__xludf.DUMMYFUNCTION("GOOGLETRANSLATE($B537, $A$2, $B$2)"),"More than 30 days ago")</f>
        <v>More than 30 days ago</v>
      </c>
      <c r="D537" s="7" t="s">
        <v>283</v>
      </c>
      <c r="E537" s="7" t="s">
        <v>258</v>
      </c>
      <c r="F537" s="7" t="s">
        <v>718</v>
      </c>
      <c r="G537" s="7" t="s">
        <v>260</v>
      </c>
      <c r="H537" s="7" t="s">
        <v>261</v>
      </c>
      <c r="I537" s="7" t="s">
        <v>261</v>
      </c>
      <c r="J537" s="7" t="str">
        <f>IFERROR(__xludf.DUMMYFUNCTION("GOOGLETRANSLATE($I537, ""de"", ""en"")"),"NO SALARY DATA")</f>
        <v>NO SALARY DATA</v>
      </c>
      <c r="K537" s="7" t="s">
        <v>261</v>
      </c>
      <c r="L537" s="7" t="s">
        <v>566</v>
      </c>
      <c r="M537" s="7" t="s">
        <v>263</v>
      </c>
      <c r="N537" s="7" t="s">
        <v>260</v>
      </c>
      <c r="O537" s="7"/>
      <c r="P537" s="37"/>
      <c r="Q537" s="7"/>
    </row>
    <row r="538">
      <c r="A538" s="7">
        <v>533.0</v>
      </c>
      <c r="B538" s="7" t="s">
        <v>265</v>
      </c>
      <c r="C538" s="7" t="str">
        <f>IFERROR(__xludf.DUMMYFUNCTION("GOOGLETRANSLATE($B538, $A$2, $B$2)"),"More than 30 days ago")</f>
        <v>More than 30 days ago</v>
      </c>
      <c r="D538" s="7" t="s">
        <v>1390</v>
      </c>
      <c r="E538" s="7" t="s">
        <v>348</v>
      </c>
      <c r="F538" s="7" t="s">
        <v>1391</v>
      </c>
      <c r="G538" s="7" t="s">
        <v>260</v>
      </c>
      <c r="H538" s="7" t="s">
        <v>261</v>
      </c>
      <c r="I538" s="7" t="s">
        <v>261</v>
      </c>
      <c r="J538" s="7" t="str">
        <f>IFERROR(__xludf.DUMMYFUNCTION("GOOGLETRANSLATE($I538, ""de"", ""en"")"),"NO SALARY DATA")</f>
        <v>NO SALARY DATA</v>
      </c>
      <c r="K538" s="7" t="s">
        <v>261</v>
      </c>
      <c r="L538" s="7" t="s">
        <v>423</v>
      </c>
      <c r="M538" s="7" t="s">
        <v>263</v>
      </c>
      <c r="N538" s="7" t="s">
        <v>260</v>
      </c>
      <c r="O538" s="7"/>
      <c r="P538" s="37"/>
      <c r="Q538" s="7"/>
    </row>
    <row r="539">
      <c r="A539" s="7">
        <v>534.0</v>
      </c>
      <c r="B539" s="7" t="s">
        <v>265</v>
      </c>
      <c r="C539" s="7" t="str">
        <f>IFERROR(__xludf.DUMMYFUNCTION("GOOGLETRANSLATE($B539, $A$2, $B$2)"),"More than 30 days ago")</f>
        <v>More than 30 days ago</v>
      </c>
      <c r="D539" s="7" t="s">
        <v>1063</v>
      </c>
      <c r="E539" s="7" t="s">
        <v>401</v>
      </c>
      <c r="F539" s="7" t="s">
        <v>1178</v>
      </c>
      <c r="G539" s="7" t="s">
        <v>260</v>
      </c>
      <c r="H539" s="7" t="s">
        <v>261</v>
      </c>
      <c r="I539" s="7" t="s">
        <v>261</v>
      </c>
      <c r="J539" s="7" t="str">
        <f>IFERROR(__xludf.DUMMYFUNCTION("GOOGLETRANSLATE($I539, ""de"", ""en"")"),"NO SALARY DATA")</f>
        <v>NO SALARY DATA</v>
      </c>
      <c r="K539" s="7" t="s">
        <v>261</v>
      </c>
      <c r="L539" s="7" t="s">
        <v>1179</v>
      </c>
      <c r="M539" s="7" t="s">
        <v>263</v>
      </c>
      <c r="N539" s="7" t="s">
        <v>260</v>
      </c>
      <c r="O539" s="7"/>
      <c r="P539" s="37"/>
      <c r="Q539" s="7"/>
    </row>
    <row r="540">
      <c r="A540" s="7">
        <v>535.0</v>
      </c>
      <c r="B540" s="7" t="s">
        <v>265</v>
      </c>
      <c r="C540" s="7" t="str">
        <f>IFERROR(__xludf.DUMMYFUNCTION("GOOGLETRANSLATE($B540, $A$2, $B$2)"),"More than 30 days ago")</f>
        <v>More than 30 days ago</v>
      </c>
      <c r="D540" s="7" t="s">
        <v>982</v>
      </c>
      <c r="E540" s="7" t="s">
        <v>343</v>
      </c>
      <c r="F540" s="7" t="s">
        <v>1392</v>
      </c>
      <c r="G540" s="7" t="s">
        <v>260</v>
      </c>
      <c r="H540" s="7" t="s">
        <v>261</v>
      </c>
      <c r="I540" s="7" t="s">
        <v>261</v>
      </c>
      <c r="J540" s="7" t="str">
        <f>IFERROR(__xludf.DUMMYFUNCTION("GOOGLETRANSLATE($I540, ""de"", ""en"")"),"NO SALARY DATA")</f>
        <v>NO SALARY DATA</v>
      </c>
      <c r="K540" s="7" t="s">
        <v>261</v>
      </c>
      <c r="L540" s="7" t="s">
        <v>345</v>
      </c>
      <c r="M540" s="7" t="s">
        <v>263</v>
      </c>
      <c r="N540" s="7" t="s">
        <v>260</v>
      </c>
      <c r="O540" s="7"/>
      <c r="P540" s="35"/>
      <c r="Q540" s="7"/>
    </row>
    <row r="541">
      <c r="A541" s="7">
        <v>536.0</v>
      </c>
      <c r="B541" s="7" t="s">
        <v>265</v>
      </c>
      <c r="C541" s="7" t="str">
        <f>IFERROR(__xludf.DUMMYFUNCTION("GOOGLETRANSLATE($B541, $A$2, $B$2)"),"More than 30 days ago")</f>
        <v>More than 30 days ago</v>
      </c>
      <c r="D541" s="7" t="s">
        <v>1393</v>
      </c>
      <c r="E541" s="7" t="s">
        <v>1394</v>
      </c>
      <c r="F541" s="7" t="s">
        <v>1395</v>
      </c>
      <c r="G541" s="7" t="s">
        <v>260</v>
      </c>
      <c r="H541" s="7" t="s">
        <v>261</v>
      </c>
      <c r="I541" s="7" t="s">
        <v>261</v>
      </c>
      <c r="J541" s="7" t="str">
        <f>IFERROR(__xludf.DUMMYFUNCTION("GOOGLETRANSLATE($I541, ""de"", ""en"")"),"NO SALARY DATA")</f>
        <v>NO SALARY DATA</v>
      </c>
      <c r="K541" s="7" t="s">
        <v>261</v>
      </c>
      <c r="L541" s="7"/>
      <c r="M541" s="7" t="s">
        <v>263</v>
      </c>
      <c r="N541" s="7" t="s">
        <v>323</v>
      </c>
      <c r="O541" s="7"/>
      <c r="P541" s="35"/>
      <c r="Q541" s="7"/>
    </row>
    <row r="542">
      <c r="A542" s="7">
        <v>537.0</v>
      </c>
      <c r="B542" s="7" t="s">
        <v>379</v>
      </c>
      <c r="C542" s="7" t="str">
        <f>IFERROR(__xludf.DUMMYFUNCTION("GOOGLETRANSLATE($B542, $A$2, $B$2)"),"13 days ago")</f>
        <v>13 days ago</v>
      </c>
      <c r="D542" s="7" t="s">
        <v>1361</v>
      </c>
      <c r="E542" s="7" t="s">
        <v>629</v>
      </c>
      <c r="F542" s="7" t="s">
        <v>1362</v>
      </c>
      <c r="G542" s="7" t="s">
        <v>260</v>
      </c>
      <c r="H542" s="7" t="s">
        <v>261</v>
      </c>
      <c r="I542" s="7" t="s">
        <v>261</v>
      </c>
      <c r="J542" s="7" t="str">
        <f>IFERROR(__xludf.DUMMYFUNCTION("GOOGLETRANSLATE($I542, ""de"", ""en"")"),"NO SALARY DATA")</f>
        <v>NO SALARY DATA</v>
      </c>
      <c r="K542" s="7" t="s">
        <v>261</v>
      </c>
      <c r="L542" s="7" t="s">
        <v>777</v>
      </c>
      <c r="M542" s="7" t="s">
        <v>673</v>
      </c>
      <c r="N542" s="7" t="s">
        <v>1169</v>
      </c>
      <c r="O542" s="7"/>
      <c r="P542" s="37"/>
      <c r="Q542" s="7"/>
    </row>
    <row r="543">
      <c r="A543" s="7">
        <v>538.0</v>
      </c>
      <c r="B543" s="7" t="s">
        <v>256</v>
      </c>
      <c r="C543" s="7" t="str">
        <f>IFERROR(__xludf.DUMMYFUNCTION("GOOGLETRANSLATE($B543, $A$2, $B$2)"),"7 days ago")</f>
        <v>7 days ago</v>
      </c>
      <c r="D543" s="7" t="s">
        <v>1396</v>
      </c>
      <c r="E543" s="7" t="s">
        <v>539</v>
      </c>
      <c r="F543" s="7" t="s">
        <v>540</v>
      </c>
      <c r="G543" s="7" t="s">
        <v>260</v>
      </c>
      <c r="H543" s="7" t="s">
        <v>261</v>
      </c>
      <c r="I543" s="7" t="s">
        <v>261</v>
      </c>
      <c r="J543" s="7" t="str">
        <f>IFERROR(__xludf.DUMMYFUNCTION("GOOGLETRANSLATE($I543, ""de"", ""en"")"),"NO SALARY DATA")</f>
        <v>NO SALARY DATA</v>
      </c>
      <c r="K543" s="7" t="s">
        <v>261</v>
      </c>
      <c r="L543" s="7" t="s">
        <v>312</v>
      </c>
      <c r="M543" s="7" t="s">
        <v>274</v>
      </c>
      <c r="N543" s="7" t="s">
        <v>260</v>
      </c>
      <c r="O543" s="7"/>
      <c r="P543" s="35"/>
      <c r="Q543" s="7"/>
    </row>
    <row r="544">
      <c r="A544" s="7">
        <v>539.0</v>
      </c>
      <c r="B544" s="7" t="s">
        <v>265</v>
      </c>
      <c r="C544" s="7" t="str">
        <f>IFERROR(__xludf.DUMMYFUNCTION("GOOGLETRANSLATE($B544, $A$2, $B$2)"),"More than 30 days ago")</f>
        <v>More than 30 days ago</v>
      </c>
      <c r="D544" s="7" t="s">
        <v>706</v>
      </c>
      <c r="E544" s="7" t="s">
        <v>401</v>
      </c>
      <c r="F544" s="7" t="s">
        <v>1397</v>
      </c>
      <c r="G544" s="7" t="s">
        <v>260</v>
      </c>
      <c r="H544" s="7" t="s">
        <v>261</v>
      </c>
      <c r="I544" s="7" t="s">
        <v>261</v>
      </c>
      <c r="J544" s="7" t="str">
        <f>IFERROR(__xludf.DUMMYFUNCTION("GOOGLETRANSLATE($I544, ""de"", ""en"")"),"NO SALARY DATA")</f>
        <v>NO SALARY DATA</v>
      </c>
      <c r="K544" s="7" t="s">
        <v>261</v>
      </c>
      <c r="L544" s="7" t="s">
        <v>423</v>
      </c>
      <c r="M544" s="7" t="s">
        <v>263</v>
      </c>
      <c r="N544" s="7" t="s">
        <v>323</v>
      </c>
      <c r="O544" s="7"/>
      <c r="P544" s="35"/>
      <c r="Q544" s="7"/>
    </row>
    <row r="545">
      <c r="A545" s="7">
        <v>540.0</v>
      </c>
      <c r="B545" s="7" t="s">
        <v>346</v>
      </c>
      <c r="C545" s="7" t="str">
        <f>IFERROR(__xludf.DUMMYFUNCTION("GOOGLETRANSLATE($B545, $A$2, $B$2)"),"12 days ago")</f>
        <v>12 days ago</v>
      </c>
      <c r="D545" s="7" t="s">
        <v>1398</v>
      </c>
      <c r="E545" s="7" t="s">
        <v>343</v>
      </c>
      <c r="F545" s="7" t="s">
        <v>1399</v>
      </c>
      <c r="G545" s="7" t="s">
        <v>260</v>
      </c>
      <c r="H545" s="7" t="s">
        <v>261</v>
      </c>
      <c r="I545" s="7" t="s">
        <v>261</v>
      </c>
      <c r="J545" s="7" t="str">
        <f>IFERROR(__xludf.DUMMYFUNCTION("GOOGLETRANSLATE($I545, ""de"", ""en"")"),"NO SALARY DATA")</f>
        <v>NO SALARY DATA</v>
      </c>
      <c r="K545" s="7" t="s">
        <v>261</v>
      </c>
      <c r="L545" s="7" t="s">
        <v>527</v>
      </c>
      <c r="M545" s="7" t="s">
        <v>263</v>
      </c>
      <c r="N545" s="7" t="s">
        <v>323</v>
      </c>
      <c r="O545" s="7"/>
      <c r="P545" s="35"/>
      <c r="Q545" s="7"/>
    </row>
    <row r="546">
      <c r="A546" s="7">
        <v>541.0</v>
      </c>
      <c r="B546" s="7" t="s">
        <v>302</v>
      </c>
      <c r="C546" s="7" t="str">
        <f>IFERROR(__xludf.DUMMYFUNCTION("GOOGLETRANSLATE($B546, $A$2, $B$2)"),"today")</f>
        <v>today</v>
      </c>
      <c r="D546" s="7" t="s">
        <v>1400</v>
      </c>
      <c r="E546" s="7" t="s">
        <v>1401</v>
      </c>
      <c r="F546" s="7" t="s">
        <v>1402</v>
      </c>
      <c r="G546" s="7" t="s">
        <v>260</v>
      </c>
      <c r="H546" s="7" t="s">
        <v>261</v>
      </c>
      <c r="I546" s="7" t="s">
        <v>261</v>
      </c>
      <c r="J546" s="7" t="str">
        <f>IFERROR(__xludf.DUMMYFUNCTION("GOOGLETRANSLATE($I546, ""de"", ""en"")"),"NO SALARY DATA")</f>
        <v>NO SALARY DATA</v>
      </c>
      <c r="K546" s="7" t="s">
        <v>261</v>
      </c>
      <c r="L546" s="7" t="s">
        <v>282</v>
      </c>
      <c r="M546" s="7" t="s">
        <v>452</v>
      </c>
      <c r="N546" s="7" t="s">
        <v>819</v>
      </c>
      <c r="O546" s="7"/>
      <c r="P546" s="37"/>
      <c r="Q546" s="7"/>
    </row>
    <row r="547">
      <c r="A547" s="7">
        <v>542.0</v>
      </c>
      <c r="B547" s="7" t="s">
        <v>265</v>
      </c>
      <c r="C547" s="7" t="str">
        <f>IFERROR(__xludf.DUMMYFUNCTION("GOOGLETRANSLATE($B547, $A$2, $B$2)"),"More than 30 days ago")</f>
        <v>More than 30 days ago</v>
      </c>
      <c r="D547" s="7" t="s">
        <v>1403</v>
      </c>
      <c r="E547" s="7" t="s">
        <v>343</v>
      </c>
      <c r="F547" s="7" t="s">
        <v>869</v>
      </c>
      <c r="G547" s="7" t="s">
        <v>1404</v>
      </c>
      <c r="H547" s="7">
        <v>48000.0</v>
      </c>
      <c r="I547" s="7" t="s">
        <v>384</v>
      </c>
      <c r="J547" s="7" t="str">
        <f>IFERROR(__xludf.DUMMYFUNCTION("GOOGLETRANSLATE($I547, ""de"", ""en"")"),"year")</f>
        <v>year</v>
      </c>
      <c r="K547" s="7">
        <v>48000.0</v>
      </c>
      <c r="L547" s="7" t="s">
        <v>282</v>
      </c>
      <c r="M547" s="7" t="s">
        <v>263</v>
      </c>
      <c r="N547" s="7" t="s">
        <v>260</v>
      </c>
      <c r="O547" s="7"/>
      <c r="P547" s="37"/>
      <c r="Q547" s="7"/>
    </row>
    <row r="548">
      <c r="A548" s="7">
        <v>543.0</v>
      </c>
      <c r="B548" s="7" t="s">
        <v>379</v>
      </c>
      <c r="C548" s="7" t="str">
        <f>IFERROR(__xludf.DUMMYFUNCTION("GOOGLETRANSLATE($B548, $A$2, $B$2)"),"13 days ago")</f>
        <v>13 days ago</v>
      </c>
      <c r="D548" s="7" t="s">
        <v>1405</v>
      </c>
      <c r="E548" s="7" t="s">
        <v>1406</v>
      </c>
      <c r="F548" s="7" t="s">
        <v>1407</v>
      </c>
      <c r="G548" s="7" t="s">
        <v>260</v>
      </c>
      <c r="H548" s="7" t="s">
        <v>261</v>
      </c>
      <c r="I548" s="7" t="s">
        <v>261</v>
      </c>
      <c r="J548" s="7" t="str">
        <f>IFERROR(__xludf.DUMMYFUNCTION("GOOGLETRANSLATE($I548, ""de"", ""en"")"),"NO SALARY DATA")</f>
        <v>NO SALARY DATA</v>
      </c>
      <c r="K548" s="7" t="s">
        <v>261</v>
      </c>
      <c r="L548" s="7" t="s">
        <v>1408</v>
      </c>
      <c r="M548" s="7" t="s">
        <v>263</v>
      </c>
      <c r="N548" s="7" t="s">
        <v>260</v>
      </c>
      <c r="O548" s="7"/>
      <c r="P548" s="37"/>
      <c r="Q548" s="7"/>
    </row>
    <row r="549">
      <c r="A549" s="7">
        <v>544.0</v>
      </c>
      <c r="B549" s="7" t="s">
        <v>265</v>
      </c>
      <c r="C549" s="7" t="str">
        <f>IFERROR(__xludf.DUMMYFUNCTION("GOOGLETRANSLATE($B549, $A$2, $B$2)"),"More than 30 days ago")</f>
        <v>More than 30 days ago</v>
      </c>
      <c r="D549" s="7" t="s">
        <v>1409</v>
      </c>
      <c r="E549" s="7" t="s">
        <v>405</v>
      </c>
      <c r="F549" s="7" t="s">
        <v>496</v>
      </c>
      <c r="G549" s="7" t="s">
        <v>260</v>
      </c>
      <c r="H549" s="7" t="s">
        <v>261</v>
      </c>
      <c r="I549" s="7" t="s">
        <v>261</v>
      </c>
      <c r="J549" s="7" t="str">
        <f>IFERROR(__xludf.DUMMYFUNCTION("GOOGLETRANSLATE($I549, ""de"", ""en"")"),"NO SALARY DATA")</f>
        <v>NO SALARY DATA</v>
      </c>
      <c r="K549" s="7" t="s">
        <v>261</v>
      </c>
      <c r="L549" s="7" t="s">
        <v>497</v>
      </c>
      <c r="M549" s="7" t="s">
        <v>263</v>
      </c>
      <c r="N549" s="7" t="s">
        <v>260</v>
      </c>
      <c r="O549" s="7"/>
      <c r="P549" s="35"/>
      <c r="Q549" s="7"/>
    </row>
    <row r="550">
      <c r="A550" s="7">
        <v>545.0</v>
      </c>
      <c r="B550" s="7" t="s">
        <v>265</v>
      </c>
      <c r="C550" s="7" t="str">
        <f>IFERROR(__xludf.DUMMYFUNCTION("GOOGLETRANSLATE($B550, $A$2, $B$2)"),"More than 30 days ago")</f>
        <v>More than 30 days ago</v>
      </c>
      <c r="D550" s="7" t="s">
        <v>1410</v>
      </c>
      <c r="E550" s="7" t="s">
        <v>1411</v>
      </c>
      <c r="F550" s="7" t="s">
        <v>1412</v>
      </c>
      <c r="G550" s="7" t="s">
        <v>260</v>
      </c>
      <c r="H550" s="7" t="s">
        <v>261</v>
      </c>
      <c r="I550" s="7" t="s">
        <v>261</v>
      </c>
      <c r="J550" s="7" t="str">
        <f>IFERROR(__xludf.DUMMYFUNCTION("GOOGLETRANSLATE($I550, ""de"", ""en"")"),"NO SALARY DATA")</f>
        <v>NO SALARY DATA</v>
      </c>
      <c r="K550" s="7" t="s">
        <v>261</v>
      </c>
      <c r="L550" s="7" t="s">
        <v>728</v>
      </c>
      <c r="M550" s="7" t="s">
        <v>263</v>
      </c>
      <c r="N550" s="7" t="s">
        <v>420</v>
      </c>
      <c r="O550" s="7"/>
      <c r="P550" s="37"/>
      <c r="Q550" s="7"/>
    </row>
    <row r="551">
      <c r="A551" s="7">
        <v>546.0</v>
      </c>
      <c r="B551" s="7" t="s">
        <v>559</v>
      </c>
      <c r="C551" s="7" t="str">
        <f>IFERROR(__xludf.DUMMYFUNCTION("GOOGLETRANSLATE($B551, $A$2, $B$2)"),"18 days ago")</f>
        <v>18 days ago</v>
      </c>
      <c r="D551" s="7" t="s">
        <v>1063</v>
      </c>
      <c r="E551" s="7" t="s">
        <v>548</v>
      </c>
      <c r="F551" s="7" t="s">
        <v>1413</v>
      </c>
      <c r="G551" s="7" t="s">
        <v>260</v>
      </c>
      <c r="H551" s="7" t="s">
        <v>261</v>
      </c>
      <c r="I551" s="7" t="s">
        <v>261</v>
      </c>
      <c r="J551" s="7" t="str">
        <f>IFERROR(__xludf.DUMMYFUNCTION("GOOGLETRANSLATE($I551, ""de"", ""en"")"),"NO SALARY DATA")</f>
        <v>NO SALARY DATA</v>
      </c>
      <c r="K551" s="7" t="s">
        <v>261</v>
      </c>
      <c r="L551" s="7" t="s">
        <v>1414</v>
      </c>
      <c r="M551" s="7" t="s">
        <v>263</v>
      </c>
      <c r="N551" s="7" t="s">
        <v>260</v>
      </c>
      <c r="O551" s="7"/>
      <c r="P551" s="35"/>
      <c r="Q551" s="7"/>
    </row>
    <row r="552">
      <c r="A552" s="7">
        <v>547.0</v>
      </c>
      <c r="B552" s="7" t="s">
        <v>346</v>
      </c>
      <c r="C552" s="7" t="str">
        <f>IFERROR(__xludf.DUMMYFUNCTION("GOOGLETRANSLATE($B552, $A$2, $B$2)"),"12 days ago")</f>
        <v>12 days ago</v>
      </c>
      <c r="D552" s="7" t="s">
        <v>1415</v>
      </c>
      <c r="E552" s="7" t="s">
        <v>280</v>
      </c>
      <c r="F552" s="7" t="s">
        <v>1416</v>
      </c>
      <c r="G552" s="7" t="s">
        <v>260</v>
      </c>
      <c r="H552" s="7" t="s">
        <v>261</v>
      </c>
      <c r="I552" s="7" t="s">
        <v>261</v>
      </c>
      <c r="J552" s="7" t="str">
        <f>IFERROR(__xludf.DUMMYFUNCTION("GOOGLETRANSLATE($I552, ""de"", ""en"")"),"NO SALARY DATA")</f>
        <v>NO SALARY DATA</v>
      </c>
      <c r="K552" s="7" t="s">
        <v>261</v>
      </c>
      <c r="L552" s="7" t="s">
        <v>908</v>
      </c>
      <c r="M552" s="7" t="s">
        <v>263</v>
      </c>
      <c r="N552" s="7" t="s">
        <v>473</v>
      </c>
      <c r="O552" s="7"/>
      <c r="P552" s="35"/>
      <c r="Q552" s="7"/>
    </row>
    <row r="553">
      <c r="A553" s="7">
        <v>548.0</v>
      </c>
      <c r="B553" s="7" t="s">
        <v>265</v>
      </c>
      <c r="C553" s="7" t="str">
        <f>IFERROR(__xludf.DUMMYFUNCTION("GOOGLETRANSLATE($B553, $A$2, $B$2)"),"More than 30 days ago")</f>
        <v>More than 30 days ago</v>
      </c>
      <c r="D553" s="7" t="s">
        <v>1417</v>
      </c>
      <c r="E553" s="7" t="s">
        <v>280</v>
      </c>
      <c r="F553" s="7" t="s">
        <v>1418</v>
      </c>
      <c r="G553" s="7" t="s">
        <v>260</v>
      </c>
      <c r="H553" s="7" t="s">
        <v>261</v>
      </c>
      <c r="I553" s="7" t="s">
        <v>261</v>
      </c>
      <c r="J553" s="7" t="str">
        <f>IFERROR(__xludf.DUMMYFUNCTION("GOOGLETRANSLATE($I553, ""de"", ""en"")"),"NO SALARY DATA")</f>
        <v>NO SALARY DATA</v>
      </c>
      <c r="K553" s="7" t="s">
        <v>261</v>
      </c>
      <c r="L553" s="7" t="s">
        <v>566</v>
      </c>
      <c r="M553" s="7" t="s">
        <v>263</v>
      </c>
      <c r="N553" s="7" t="s">
        <v>1419</v>
      </c>
      <c r="O553" s="7"/>
      <c r="P553" s="37"/>
      <c r="Q553" s="7"/>
    </row>
    <row r="554">
      <c r="A554" s="7">
        <v>549.0</v>
      </c>
      <c r="B554" s="7" t="s">
        <v>265</v>
      </c>
      <c r="C554" s="7" t="str">
        <f>IFERROR(__xludf.DUMMYFUNCTION("GOOGLETRANSLATE($B554, $A$2, $B$2)"),"More than 30 days ago")</f>
        <v>More than 30 days ago</v>
      </c>
      <c r="D554" s="7" t="s">
        <v>1420</v>
      </c>
      <c r="E554" s="7" t="s">
        <v>408</v>
      </c>
      <c r="F554" s="7" t="s">
        <v>1421</v>
      </c>
      <c r="G554" s="7" t="s">
        <v>1422</v>
      </c>
      <c r="H554" s="7">
        <v>55000.0</v>
      </c>
      <c r="I554" s="7" t="s">
        <v>384</v>
      </c>
      <c r="J554" s="7" t="str">
        <f>IFERROR(__xludf.DUMMYFUNCTION("GOOGLETRANSLATE($I554, ""de"", ""en"")"),"year")</f>
        <v>year</v>
      </c>
      <c r="K554" s="7">
        <v>55000.0</v>
      </c>
      <c r="L554" s="7" t="s">
        <v>1179</v>
      </c>
      <c r="M554" s="7" t="s">
        <v>263</v>
      </c>
      <c r="N554" s="7" t="s">
        <v>260</v>
      </c>
      <c r="O554" s="7"/>
      <c r="P554" s="37"/>
      <c r="Q554" s="7"/>
    </row>
    <row r="555">
      <c r="A555" s="7">
        <v>550.0</v>
      </c>
      <c r="B555" s="7" t="s">
        <v>346</v>
      </c>
      <c r="C555" s="7" t="str">
        <f>IFERROR(__xludf.DUMMYFUNCTION("GOOGLETRANSLATE($B555, $A$2, $B$2)"),"12 days ago")</f>
        <v>12 days ago</v>
      </c>
      <c r="D555" s="7" t="s">
        <v>1423</v>
      </c>
      <c r="E555" s="7" t="s">
        <v>280</v>
      </c>
      <c r="F555" s="7" t="s">
        <v>1424</v>
      </c>
      <c r="G555" s="7" t="s">
        <v>260</v>
      </c>
      <c r="H555" s="7" t="s">
        <v>261</v>
      </c>
      <c r="I555" s="7" t="s">
        <v>261</v>
      </c>
      <c r="J555" s="7" t="str">
        <f>IFERROR(__xludf.DUMMYFUNCTION("GOOGLETRANSLATE($I555, ""de"", ""en"")"),"NO SALARY DATA")</f>
        <v>NO SALARY DATA</v>
      </c>
      <c r="K555" s="7" t="s">
        <v>261</v>
      </c>
      <c r="L555" s="7" t="s">
        <v>649</v>
      </c>
      <c r="M555" s="7" t="s">
        <v>263</v>
      </c>
      <c r="N555" s="7" t="s">
        <v>260</v>
      </c>
      <c r="O555" s="7"/>
      <c r="P555" s="35"/>
      <c r="Q555" s="7"/>
    </row>
    <row r="556">
      <c r="A556" s="7">
        <v>551.0</v>
      </c>
      <c r="B556" s="7" t="s">
        <v>379</v>
      </c>
      <c r="C556" s="7" t="str">
        <f>IFERROR(__xludf.DUMMYFUNCTION("GOOGLETRANSLATE($B556, $A$2, $B$2)"),"13 days ago")</f>
        <v>13 days ago</v>
      </c>
      <c r="D556" s="7" t="s">
        <v>1425</v>
      </c>
      <c r="E556" s="7" t="s">
        <v>352</v>
      </c>
      <c r="F556" s="7" t="s">
        <v>738</v>
      </c>
      <c r="G556" s="7" t="s">
        <v>260</v>
      </c>
      <c r="H556" s="7" t="s">
        <v>261</v>
      </c>
      <c r="I556" s="7" t="s">
        <v>261</v>
      </c>
      <c r="J556" s="7" t="str">
        <f>IFERROR(__xludf.DUMMYFUNCTION("GOOGLETRANSLATE($I556, ""de"", ""en"")"),"NO SALARY DATA")</f>
        <v>NO SALARY DATA</v>
      </c>
      <c r="K556" s="7" t="s">
        <v>261</v>
      </c>
      <c r="L556" s="7" t="s">
        <v>370</v>
      </c>
      <c r="M556" s="7" t="s">
        <v>263</v>
      </c>
      <c r="N556" s="7" t="s">
        <v>301</v>
      </c>
      <c r="O556" s="7"/>
      <c r="P556" s="37"/>
      <c r="Q556" s="7"/>
    </row>
    <row r="557">
      <c r="A557" s="7">
        <v>552.0</v>
      </c>
      <c r="B557" s="7" t="s">
        <v>392</v>
      </c>
      <c r="C557" s="7" t="str">
        <f>IFERROR(__xludf.DUMMYFUNCTION("GOOGLETRANSLATE($B557, $A$2, $B$2)"),"10 days ago")</f>
        <v>10 days ago</v>
      </c>
      <c r="D557" s="7" t="s">
        <v>685</v>
      </c>
      <c r="E557" s="7" t="s">
        <v>483</v>
      </c>
      <c r="F557" s="7" t="s">
        <v>1426</v>
      </c>
      <c r="G557" s="7" t="s">
        <v>260</v>
      </c>
      <c r="H557" s="7" t="s">
        <v>261</v>
      </c>
      <c r="I557" s="7" t="s">
        <v>261</v>
      </c>
      <c r="J557" s="7" t="str">
        <f>IFERROR(__xludf.DUMMYFUNCTION("GOOGLETRANSLATE($I557, ""de"", ""en"")"),"NO SALARY DATA")</f>
        <v>NO SALARY DATA</v>
      </c>
      <c r="K557" s="7" t="s">
        <v>261</v>
      </c>
      <c r="L557" s="7"/>
      <c r="M557" s="7" t="s">
        <v>263</v>
      </c>
      <c r="N557" s="7" t="s">
        <v>260</v>
      </c>
      <c r="O557" s="7"/>
      <c r="P557" s="35"/>
      <c r="Q557" s="7"/>
    </row>
    <row r="558">
      <c r="A558" s="7">
        <v>553.0</v>
      </c>
      <c r="B558" s="7" t="s">
        <v>265</v>
      </c>
      <c r="C558" s="7" t="str">
        <f>IFERROR(__xludf.DUMMYFUNCTION("GOOGLETRANSLATE($B558, $A$2, $B$2)"),"More than 30 days ago")</f>
        <v>More than 30 days ago</v>
      </c>
      <c r="D558" s="7" t="s">
        <v>1427</v>
      </c>
      <c r="E558" s="7" t="s">
        <v>352</v>
      </c>
      <c r="F558" s="7" t="s">
        <v>1428</v>
      </c>
      <c r="G558" s="7" t="s">
        <v>260</v>
      </c>
      <c r="H558" s="7" t="s">
        <v>261</v>
      </c>
      <c r="I558" s="7" t="s">
        <v>261</v>
      </c>
      <c r="J558" s="7" t="str">
        <f>IFERROR(__xludf.DUMMYFUNCTION("GOOGLETRANSLATE($I558, ""de"", ""en"")"),"NO SALARY DATA")</f>
        <v>NO SALARY DATA</v>
      </c>
      <c r="K558" s="7" t="s">
        <v>261</v>
      </c>
      <c r="L558" s="7" t="s">
        <v>312</v>
      </c>
      <c r="M558" s="7" t="s">
        <v>263</v>
      </c>
      <c r="N558" s="7" t="s">
        <v>1169</v>
      </c>
      <c r="O558" s="7"/>
      <c r="P558" s="37"/>
      <c r="Q558" s="7"/>
    </row>
    <row r="559">
      <c r="A559" s="7">
        <v>554.0</v>
      </c>
      <c r="B559" s="7" t="s">
        <v>379</v>
      </c>
      <c r="C559" s="7" t="str">
        <f>IFERROR(__xludf.DUMMYFUNCTION("GOOGLETRANSLATE($B559, $A$2, $B$2)"),"13 days ago")</f>
        <v>13 days ago</v>
      </c>
      <c r="D559" s="7" t="s">
        <v>1429</v>
      </c>
      <c r="E559" s="7" t="s">
        <v>280</v>
      </c>
      <c r="F559" s="7" t="s">
        <v>1306</v>
      </c>
      <c r="G559" s="7" t="s">
        <v>260</v>
      </c>
      <c r="H559" s="7" t="s">
        <v>261</v>
      </c>
      <c r="I559" s="7" t="s">
        <v>261</v>
      </c>
      <c r="J559" s="7" t="str">
        <f>IFERROR(__xludf.DUMMYFUNCTION("GOOGLETRANSLATE($I559, ""de"", ""en"")"),"NO SALARY DATA")</f>
        <v>NO SALARY DATA</v>
      </c>
      <c r="K559" s="7" t="s">
        <v>261</v>
      </c>
      <c r="L559" s="7"/>
      <c r="M559" s="7" t="s">
        <v>263</v>
      </c>
      <c r="N559" s="7" t="s">
        <v>260</v>
      </c>
      <c r="O559" s="7"/>
      <c r="P559" s="35"/>
      <c r="Q559" s="7"/>
    </row>
    <row r="560">
      <c r="A560" s="7">
        <v>555.0</v>
      </c>
      <c r="B560" s="7" t="s">
        <v>375</v>
      </c>
      <c r="C560" s="7" t="str">
        <f>IFERROR(__xludf.DUMMYFUNCTION("GOOGLETRANSLATE($B560, $A$2, $B$2)"),"6 days ago")</f>
        <v>6 days ago</v>
      </c>
      <c r="D560" s="7" t="s">
        <v>1102</v>
      </c>
      <c r="E560" s="7" t="s">
        <v>742</v>
      </c>
      <c r="F560" s="7" t="s">
        <v>1103</v>
      </c>
      <c r="G560" s="7" t="s">
        <v>260</v>
      </c>
      <c r="H560" s="7" t="s">
        <v>261</v>
      </c>
      <c r="I560" s="7" t="s">
        <v>261</v>
      </c>
      <c r="J560" s="7" t="str">
        <f>IFERROR(__xludf.DUMMYFUNCTION("GOOGLETRANSLATE($I560, ""de"", ""en"")"),"NO SALARY DATA")</f>
        <v>NO SALARY DATA</v>
      </c>
      <c r="K560" s="7" t="s">
        <v>261</v>
      </c>
      <c r="L560" s="7" t="s">
        <v>1104</v>
      </c>
      <c r="M560" s="7" t="s">
        <v>263</v>
      </c>
      <c r="N560" s="7" t="s">
        <v>301</v>
      </c>
      <c r="O560" s="7"/>
      <c r="P560" s="35"/>
      <c r="Q560" s="7"/>
    </row>
    <row r="561">
      <c r="A561" s="7">
        <v>556.0</v>
      </c>
      <c r="B561" s="7" t="s">
        <v>265</v>
      </c>
      <c r="C561" s="7" t="str">
        <f>IFERROR(__xludf.DUMMYFUNCTION("GOOGLETRANSLATE($B561, $A$2, $B$2)"),"More than 30 days ago")</f>
        <v>More than 30 days ago</v>
      </c>
      <c r="D561" s="7" t="s">
        <v>1430</v>
      </c>
      <c r="E561" s="7" t="s">
        <v>343</v>
      </c>
      <c r="F561" s="7" t="s">
        <v>506</v>
      </c>
      <c r="G561" s="7" t="s">
        <v>260</v>
      </c>
      <c r="H561" s="7" t="s">
        <v>261</v>
      </c>
      <c r="I561" s="7" t="s">
        <v>261</v>
      </c>
      <c r="J561" s="7" t="str">
        <f>IFERROR(__xludf.DUMMYFUNCTION("GOOGLETRANSLATE($I561, ""de"", ""en"")"),"NO SALARY DATA")</f>
        <v>NO SALARY DATA</v>
      </c>
      <c r="K561" s="7" t="s">
        <v>261</v>
      </c>
      <c r="L561" s="7" t="s">
        <v>312</v>
      </c>
      <c r="M561" s="7" t="s">
        <v>263</v>
      </c>
      <c r="N561" s="7" t="s">
        <v>507</v>
      </c>
      <c r="O561" s="7"/>
      <c r="P561" s="35"/>
      <c r="Q561" s="7"/>
    </row>
    <row r="562">
      <c r="A562" s="7">
        <v>557.0</v>
      </c>
      <c r="B562" s="7" t="s">
        <v>265</v>
      </c>
      <c r="C562" s="7" t="str">
        <f>IFERROR(__xludf.DUMMYFUNCTION("GOOGLETRANSLATE($B562, $A$2, $B$2)"),"More than 30 days ago")</f>
        <v>More than 30 days ago</v>
      </c>
      <c r="D562" s="7" t="s">
        <v>1431</v>
      </c>
      <c r="E562" s="7" t="s">
        <v>271</v>
      </c>
      <c r="F562" s="7" t="s">
        <v>564</v>
      </c>
      <c r="G562" s="7" t="s">
        <v>260</v>
      </c>
      <c r="H562" s="7" t="s">
        <v>261</v>
      </c>
      <c r="I562" s="7" t="s">
        <v>261</v>
      </c>
      <c r="J562" s="7" t="str">
        <f>IFERROR(__xludf.DUMMYFUNCTION("GOOGLETRANSLATE($I562, ""de"", ""en"")"),"NO SALARY DATA")</f>
        <v>NO SALARY DATA</v>
      </c>
      <c r="K562" s="7" t="s">
        <v>261</v>
      </c>
      <c r="L562" s="7" t="s">
        <v>531</v>
      </c>
      <c r="M562" s="7" t="s">
        <v>263</v>
      </c>
      <c r="N562" s="7" t="s">
        <v>323</v>
      </c>
      <c r="O562" s="7"/>
      <c r="P562" s="37"/>
      <c r="Q562" s="7"/>
    </row>
    <row r="563">
      <c r="A563" s="7">
        <v>558.0</v>
      </c>
      <c r="B563" s="7" t="s">
        <v>265</v>
      </c>
      <c r="C563" s="7" t="str">
        <f>IFERROR(__xludf.DUMMYFUNCTION("GOOGLETRANSLATE($B563, $A$2, $B$2)"),"More than 30 days ago")</f>
        <v>More than 30 days ago</v>
      </c>
      <c r="D563" s="7" t="s">
        <v>1432</v>
      </c>
      <c r="E563" s="7" t="s">
        <v>401</v>
      </c>
      <c r="F563" s="7" t="s">
        <v>1433</v>
      </c>
      <c r="G563" s="7" t="s">
        <v>260</v>
      </c>
      <c r="H563" s="7" t="s">
        <v>261</v>
      </c>
      <c r="I563" s="7" t="s">
        <v>261</v>
      </c>
      <c r="J563" s="7" t="str">
        <f>IFERROR(__xludf.DUMMYFUNCTION("GOOGLETRANSLATE($I563, ""de"", ""en"")"),"NO SALARY DATA")</f>
        <v>NO SALARY DATA</v>
      </c>
      <c r="K563" s="7" t="s">
        <v>261</v>
      </c>
      <c r="L563" s="7" t="s">
        <v>286</v>
      </c>
      <c r="M563" s="7" t="s">
        <v>263</v>
      </c>
      <c r="N563" s="7" t="s">
        <v>260</v>
      </c>
      <c r="O563" s="7"/>
      <c r="P563" s="35"/>
      <c r="Q563" s="7"/>
    </row>
    <row r="564">
      <c r="A564" s="7">
        <v>559.0</v>
      </c>
      <c r="B564" s="7" t="s">
        <v>265</v>
      </c>
      <c r="C564" s="7" t="str">
        <f>IFERROR(__xludf.DUMMYFUNCTION("GOOGLETRANSLATE($B564, $A$2, $B$2)"),"More than 30 days ago")</f>
        <v>More than 30 days ago</v>
      </c>
      <c r="D564" s="7" t="s">
        <v>668</v>
      </c>
      <c r="E564" s="7" t="s">
        <v>258</v>
      </c>
      <c r="F564" s="7" t="s">
        <v>1434</v>
      </c>
      <c r="G564" s="7" t="s">
        <v>260</v>
      </c>
      <c r="H564" s="7" t="s">
        <v>261</v>
      </c>
      <c r="I564" s="7" t="s">
        <v>261</v>
      </c>
      <c r="J564" s="7" t="str">
        <f>IFERROR(__xludf.DUMMYFUNCTION("GOOGLETRANSLATE($I564, ""de"", ""en"")"),"NO SALARY DATA")</f>
        <v>NO SALARY DATA</v>
      </c>
      <c r="K564" s="7" t="s">
        <v>261</v>
      </c>
      <c r="L564" s="7" t="s">
        <v>943</v>
      </c>
      <c r="M564" s="7" t="s">
        <v>414</v>
      </c>
      <c r="N564" s="7" t="s">
        <v>507</v>
      </c>
      <c r="O564" s="7"/>
      <c r="P564" s="37"/>
      <c r="Q564" s="7"/>
    </row>
    <row r="565">
      <c r="A565" s="7">
        <v>560.0</v>
      </c>
      <c r="B565" s="7" t="s">
        <v>265</v>
      </c>
      <c r="C565" s="7" t="str">
        <f>IFERROR(__xludf.DUMMYFUNCTION("GOOGLETRANSLATE($B565, $A$2, $B$2)"),"More than 30 days ago")</f>
        <v>More than 30 days ago</v>
      </c>
      <c r="D565" s="7" t="s">
        <v>1435</v>
      </c>
      <c r="E565" s="7" t="s">
        <v>280</v>
      </c>
      <c r="F565" s="7" t="s">
        <v>1436</v>
      </c>
      <c r="G565" s="7" t="s">
        <v>260</v>
      </c>
      <c r="H565" s="7" t="s">
        <v>261</v>
      </c>
      <c r="I565" s="7" t="s">
        <v>261</v>
      </c>
      <c r="J565" s="7" t="str">
        <f>IFERROR(__xludf.DUMMYFUNCTION("GOOGLETRANSLATE($I565, ""de"", ""en"")"),"NO SALARY DATA")</f>
        <v>NO SALARY DATA</v>
      </c>
      <c r="K565" s="7" t="s">
        <v>261</v>
      </c>
      <c r="L565" s="7" t="s">
        <v>345</v>
      </c>
      <c r="M565" s="7" t="s">
        <v>263</v>
      </c>
      <c r="N565" s="7" t="s">
        <v>260</v>
      </c>
      <c r="O565" s="7"/>
      <c r="P565" s="35"/>
      <c r="Q565" s="7"/>
    </row>
    <row r="566">
      <c r="A566" s="7">
        <v>561.0</v>
      </c>
      <c r="B566" s="7" t="s">
        <v>265</v>
      </c>
      <c r="C566" s="7" t="str">
        <f>IFERROR(__xludf.DUMMYFUNCTION("GOOGLETRANSLATE($B566, $A$2, $B$2)"),"More than 30 days ago")</f>
        <v>More than 30 days ago</v>
      </c>
      <c r="D566" s="7" t="s">
        <v>1160</v>
      </c>
      <c r="E566" s="7" t="s">
        <v>343</v>
      </c>
      <c r="F566" s="7" t="s">
        <v>506</v>
      </c>
      <c r="G566" s="7" t="s">
        <v>260</v>
      </c>
      <c r="H566" s="7" t="s">
        <v>261</v>
      </c>
      <c r="I566" s="7" t="s">
        <v>261</v>
      </c>
      <c r="J566" s="7" t="str">
        <f>IFERROR(__xludf.DUMMYFUNCTION("GOOGLETRANSLATE($I566, ""de"", ""en"")"),"NO SALARY DATA")</f>
        <v>NO SALARY DATA</v>
      </c>
      <c r="K566" s="7" t="s">
        <v>261</v>
      </c>
      <c r="L566" s="7" t="s">
        <v>646</v>
      </c>
      <c r="M566" s="7" t="s">
        <v>263</v>
      </c>
      <c r="N566" s="7" t="s">
        <v>507</v>
      </c>
      <c r="O566" s="7"/>
      <c r="P566" s="37"/>
      <c r="Q566" s="7"/>
    </row>
    <row r="567">
      <c r="A567" s="7">
        <v>562.0</v>
      </c>
      <c r="B567" s="7" t="s">
        <v>265</v>
      </c>
      <c r="C567" s="7" t="str">
        <f>IFERROR(__xludf.DUMMYFUNCTION("GOOGLETRANSLATE($B567, $A$2, $B$2)"),"More than 30 days ago")</f>
        <v>More than 30 days ago</v>
      </c>
      <c r="D567" s="7" t="s">
        <v>995</v>
      </c>
      <c r="E567" s="7" t="s">
        <v>258</v>
      </c>
      <c r="F567" s="7" t="s">
        <v>1437</v>
      </c>
      <c r="G567" s="7" t="s">
        <v>260</v>
      </c>
      <c r="H567" s="7" t="s">
        <v>261</v>
      </c>
      <c r="I567" s="7" t="s">
        <v>261</v>
      </c>
      <c r="J567" s="7" t="str">
        <f>IFERROR(__xludf.DUMMYFUNCTION("GOOGLETRANSLATE($I567, ""de"", ""en"")"),"NO SALARY DATA")</f>
        <v>NO SALARY DATA</v>
      </c>
      <c r="K567" s="7" t="s">
        <v>261</v>
      </c>
      <c r="L567" s="7" t="s">
        <v>996</v>
      </c>
      <c r="M567" s="7" t="s">
        <v>263</v>
      </c>
      <c r="N567" s="7" t="s">
        <v>260</v>
      </c>
      <c r="O567" s="7"/>
      <c r="P567" s="37"/>
      <c r="Q567" s="7"/>
    </row>
    <row r="568">
      <c r="A568" s="7">
        <v>563.0</v>
      </c>
      <c r="B568" s="7" t="s">
        <v>892</v>
      </c>
      <c r="C568" s="7" t="str">
        <f>IFERROR(__xludf.DUMMYFUNCTION("GOOGLETRANSLATE($B568, $A$2, $B$2)"),"25 days ago")</f>
        <v>25 days ago</v>
      </c>
      <c r="D568" s="7" t="s">
        <v>1438</v>
      </c>
      <c r="E568" s="7" t="s">
        <v>258</v>
      </c>
      <c r="F568" s="7" t="s">
        <v>906</v>
      </c>
      <c r="G568" s="7" t="s">
        <v>260</v>
      </c>
      <c r="H568" s="7" t="s">
        <v>261</v>
      </c>
      <c r="I568" s="7" t="s">
        <v>261</v>
      </c>
      <c r="J568" s="7" t="str">
        <f>IFERROR(__xludf.DUMMYFUNCTION("GOOGLETRANSLATE($I568, ""de"", ""en"")"),"NO SALARY DATA")</f>
        <v>NO SALARY DATA</v>
      </c>
      <c r="K568" s="7" t="s">
        <v>261</v>
      </c>
      <c r="L568" s="7" t="s">
        <v>711</v>
      </c>
      <c r="M568" s="7" t="s">
        <v>673</v>
      </c>
      <c r="N568" s="7" t="s">
        <v>260</v>
      </c>
      <c r="O568" s="7"/>
      <c r="P568" s="35"/>
      <c r="Q568" s="7"/>
    </row>
    <row r="569">
      <c r="A569" s="7">
        <v>564.0</v>
      </c>
      <c r="B569" s="7" t="s">
        <v>265</v>
      </c>
      <c r="C569" s="7" t="str">
        <f>IFERROR(__xludf.DUMMYFUNCTION("GOOGLETRANSLATE($B569, $A$2, $B$2)"),"More than 30 days ago")</f>
        <v>More than 30 days ago</v>
      </c>
      <c r="D569" s="7" t="s">
        <v>1439</v>
      </c>
      <c r="E569" s="7" t="s">
        <v>1069</v>
      </c>
      <c r="F569" s="7" t="s">
        <v>787</v>
      </c>
      <c r="G569" s="7" t="s">
        <v>260</v>
      </c>
      <c r="H569" s="7" t="s">
        <v>261</v>
      </c>
      <c r="I569" s="7" t="s">
        <v>261</v>
      </c>
      <c r="J569" s="7" t="str">
        <f>IFERROR(__xludf.DUMMYFUNCTION("GOOGLETRANSLATE($I569, ""de"", ""en"")"),"NO SALARY DATA")</f>
        <v>NO SALARY DATA</v>
      </c>
      <c r="K569" s="7" t="s">
        <v>261</v>
      </c>
      <c r="L569" s="7" t="s">
        <v>562</v>
      </c>
      <c r="M569" s="7" t="s">
        <v>263</v>
      </c>
      <c r="N569" s="7" t="s">
        <v>788</v>
      </c>
      <c r="O569" s="7"/>
      <c r="P569" s="37"/>
      <c r="Q569" s="7"/>
    </row>
    <row r="570">
      <c r="A570" s="7">
        <v>565.0</v>
      </c>
      <c r="B570" s="7" t="s">
        <v>265</v>
      </c>
      <c r="C570" s="7" t="str">
        <f>IFERROR(__xludf.DUMMYFUNCTION("GOOGLETRANSLATE($B570, $A$2, $B$2)"),"More than 30 days ago")</f>
        <v>More than 30 days ago</v>
      </c>
      <c r="D570" s="7" t="s">
        <v>1358</v>
      </c>
      <c r="E570" s="7" t="s">
        <v>1336</v>
      </c>
      <c r="F570" s="7" t="s">
        <v>1337</v>
      </c>
      <c r="G570" s="7" t="s">
        <v>260</v>
      </c>
      <c r="H570" s="7" t="s">
        <v>261</v>
      </c>
      <c r="I570" s="7" t="s">
        <v>261</v>
      </c>
      <c r="J570" s="7" t="str">
        <f>IFERROR(__xludf.DUMMYFUNCTION("GOOGLETRANSLATE($I570, ""de"", ""en"")"),"NO SALARY DATA")</f>
        <v>NO SALARY DATA</v>
      </c>
      <c r="K570" s="7" t="s">
        <v>261</v>
      </c>
      <c r="L570" s="7" t="s">
        <v>777</v>
      </c>
      <c r="M570" s="7" t="s">
        <v>263</v>
      </c>
      <c r="N570" s="7" t="s">
        <v>260</v>
      </c>
      <c r="O570" s="7"/>
      <c r="P570" s="35"/>
      <c r="Q570" s="7"/>
    </row>
    <row r="571">
      <c r="A571" s="7">
        <v>566.0</v>
      </c>
      <c r="B571" s="7" t="s">
        <v>324</v>
      </c>
      <c r="C571" s="7" t="str">
        <f>IFERROR(__xludf.DUMMYFUNCTION("GOOGLETRANSLATE($B571, $A$2, $B$2)"),"3 days ago")</f>
        <v>3 days ago</v>
      </c>
      <c r="D571" s="7" t="s">
        <v>1235</v>
      </c>
      <c r="E571" s="7" t="s">
        <v>669</v>
      </c>
      <c r="F571" s="7" t="s">
        <v>763</v>
      </c>
      <c r="G571" s="7" t="s">
        <v>260</v>
      </c>
      <c r="H571" s="7" t="s">
        <v>261</v>
      </c>
      <c r="I571" s="7" t="s">
        <v>261</v>
      </c>
      <c r="J571" s="7" t="str">
        <f>IFERROR(__xludf.DUMMYFUNCTION("GOOGLETRANSLATE($I571, ""de"", ""en"")"),"NO SALARY DATA")</f>
        <v>NO SALARY DATA</v>
      </c>
      <c r="K571" s="7" t="s">
        <v>261</v>
      </c>
      <c r="L571" s="7"/>
      <c r="M571" s="7" t="s">
        <v>263</v>
      </c>
      <c r="N571" s="7" t="s">
        <v>434</v>
      </c>
      <c r="O571" s="7"/>
      <c r="P571" s="37"/>
      <c r="Q571" s="7"/>
    </row>
    <row r="572">
      <c r="A572" s="7">
        <v>567.0</v>
      </c>
      <c r="B572" s="7" t="s">
        <v>379</v>
      </c>
      <c r="C572" s="7" t="str">
        <f>IFERROR(__xludf.DUMMYFUNCTION("GOOGLETRANSLATE($B572, $A$2, $B$2)"),"13 days ago")</f>
        <v>13 days ago</v>
      </c>
      <c r="D572" s="7" t="s">
        <v>1346</v>
      </c>
      <c r="E572" s="7" t="s">
        <v>280</v>
      </c>
      <c r="F572" s="7" t="s">
        <v>877</v>
      </c>
      <c r="G572" s="7" t="s">
        <v>260</v>
      </c>
      <c r="H572" s="7" t="s">
        <v>261</v>
      </c>
      <c r="I572" s="7" t="s">
        <v>261</v>
      </c>
      <c r="J572" s="7" t="str">
        <f>IFERROR(__xludf.DUMMYFUNCTION("GOOGLETRANSLATE($I572, ""de"", ""en"")"),"NO SALARY DATA")</f>
        <v>NO SALARY DATA</v>
      </c>
      <c r="K572" s="7" t="s">
        <v>261</v>
      </c>
      <c r="L572" s="7" t="s">
        <v>327</v>
      </c>
      <c r="M572" s="7" t="s">
        <v>263</v>
      </c>
      <c r="N572" s="7" t="s">
        <v>260</v>
      </c>
      <c r="O572" s="7"/>
      <c r="P572" s="37"/>
      <c r="Q572" s="7"/>
    </row>
    <row r="573">
      <c r="A573" s="7">
        <v>568.0</v>
      </c>
      <c r="B573" s="7" t="s">
        <v>332</v>
      </c>
      <c r="C573" s="7" t="str">
        <f>IFERROR(__xludf.DUMMYFUNCTION("GOOGLETRANSLATE($B573, $A$2, $B$2)"),"4 days ago")</f>
        <v>4 days ago</v>
      </c>
      <c r="D573" s="7" t="s">
        <v>1440</v>
      </c>
      <c r="E573" s="7" t="s">
        <v>368</v>
      </c>
      <c r="F573" s="7" t="s">
        <v>1441</v>
      </c>
      <c r="G573" s="7" t="s">
        <v>260</v>
      </c>
      <c r="H573" s="7" t="s">
        <v>261</v>
      </c>
      <c r="I573" s="7" t="s">
        <v>261</v>
      </c>
      <c r="J573" s="7" t="str">
        <f>IFERROR(__xludf.DUMMYFUNCTION("GOOGLETRANSLATE($I573, ""de"", ""en"")"),"NO SALARY DATA")</f>
        <v>NO SALARY DATA</v>
      </c>
      <c r="K573" s="7" t="s">
        <v>261</v>
      </c>
      <c r="L573" s="7" t="s">
        <v>318</v>
      </c>
      <c r="M573" s="7" t="s">
        <v>263</v>
      </c>
      <c r="N573" s="7" t="s">
        <v>260</v>
      </c>
      <c r="O573" s="7"/>
      <c r="P573" s="37"/>
      <c r="Q573" s="7"/>
    </row>
    <row r="574">
      <c r="A574" s="7">
        <v>569.0</v>
      </c>
      <c r="B574" s="7" t="s">
        <v>265</v>
      </c>
      <c r="C574" s="7" t="str">
        <f>IFERROR(__xludf.DUMMYFUNCTION("GOOGLETRANSLATE($B574, $A$2, $B$2)"),"More than 30 days ago")</f>
        <v>More than 30 days ago</v>
      </c>
      <c r="D574" s="7" t="s">
        <v>841</v>
      </c>
      <c r="E574" s="7" t="s">
        <v>280</v>
      </c>
      <c r="F574" s="7" t="s">
        <v>842</v>
      </c>
      <c r="G574" s="7" t="s">
        <v>260</v>
      </c>
      <c r="H574" s="7" t="s">
        <v>261</v>
      </c>
      <c r="I574" s="7" t="s">
        <v>261</v>
      </c>
      <c r="J574" s="7" t="str">
        <f>IFERROR(__xludf.DUMMYFUNCTION("GOOGLETRANSLATE($I574, ""de"", ""en"")"),"NO SALARY DATA")</f>
        <v>NO SALARY DATA</v>
      </c>
      <c r="K574" s="7" t="s">
        <v>261</v>
      </c>
      <c r="L574" s="7" t="s">
        <v>843</v>
      </c>
      <c r="M574" s="7" t="s">
        <v>263</v>
      </c>
      <c r="N574" s="7" t="s">
        <v>260</v>
      </c>
      <c r="O574" s="7"/>
      <c r="P574" s="37"/>
      <c r="Q574" s="7"/>
    </row>
    <row r="575">
      <c r="A575" s="7">
        <v>570.0</v>
      </c>
      <c r="B575" s="7" t="s">
        <v>265</v>
      </c>
      <c r="C575" s="7" t="str">
        <f>IFERROR(__xludf.DUMMYFUNCTION("GOOGLETRANSLATE($B575, $A$2, $B$2)"),"More than 30 days ago")</f>
        <v>More than 30 days ago</v>
      </c>
      <c r="D575" s="7" t="s">
        <v>1442</v>
      </c>
      <c r="E575" s="7" t="s">
        <v>258</v>
      </c>
      <c r="F575" s="7" t="s">
        <v>1443</v>
      </c>
      <c r="G575" s="7" t="s">
        <v>260</v>
      </c>
      <c r="H575" s="7" t="s">
        <v>261</v>
      </c>
      <c r="I575" s="7" t="s">
        <v>261</v>
      </c>
      <c r="J575" s="7" t="str">
        <f>IFERROR(__xludf.DUMMYFUNCTION("GOOGLETRANSLATE($I575, ""de"", ""en"")"),"NO SALARY DATA")</f>
        <v>NO SALARY DATA</v>
      </c>
      <c r="K575" s="7" t="s">
        <v>261</v>
      </c>
      <c r="L575" s="7" t="s">
        <v>490</v>
      </c>
      <c r="M575" s="7" t="s">
        <v>263</v>
      </c>
      <c r="N575" s="7" t="s">
        <v>260</v>
      </c>
      <c r="O575" s="7"/>
      <c r="P575" s="37"/>
      <c r="Q575" s="7"/>
    </row>
    <row r="576">
      <c r="A576" s="7">
        <v>571.0</v>
      </c>
      <c r="B576" s="7" t="s">
        <v>637</v>
      </c>
      <c r="C576" s="7" t="str">
        <f>IFERROR(__xludf.DUMMYFUNCTION("GOOGLETRANSLATE($B576, $A$2, $B$2)"),"17 days ago")</f>
        <v>17 days ago</v>
      </c>
      <c r="D576" s="7" t="s">
        <v>1444</v>
      </c>
      <c r="E576" s="7" t="s">
        <v>258</v>
      </c>
      <c r="F576" s="7" t="s">
        <v>1186</v>
      </c>
      <c r="G576" s="7" t="s">
        <v>260</v>
      </c>
      <c r="H576" s="7" t="s">
        <v>261</v>
      </c>
      <c r="I576" s="7" t="s">
        <v>261</v>
      </c>
      <c r="J576" s="7" t="str">
        <f>IFERROR(__xludf.DUMMYFUNCTION("GOOGLETRANSLATE($I576, ""de"", ""en"")"),"NO SALARY DATA")</f>
        <v>NO SALARY DATA</v>
      </c>
      <c r="K576" s="7" t="s">
        <v>261</v>
      </c>
      <c r="L576" s="7" t="s">
        <v>1119</v>
      </c>
      <c r="M576" s="7" t="s">
        <v>263</v>
      </c>
      <c r="N576" s="7" t="s">
        <v>260</v>
      </c>
      <c r="O576" s="7"/>
      <c r="P576" s="37"/>
      <c r="Q576" s="7"/>
    </row>
    <row r="577">
      <c r="A577" s="7">
        <v>572.0</v>
      </c>
      <c r="B577" s="7" t="s">
        <v>332</v>
      </c>
      <c r="C577" s="7" t="str">
        <f>IFERROR(__xludf.DUMMYFUNCTION("GOOGLETRANSLATE($B577, $A$2, $B$2)"),"4 days ago")</f>
        <v>4 days ago</v>
      </c>
      <c r="D577" s="7" t="s">
        <v>1445</v>
      </c>
      <c r="E577" s="7" t="s">
        <v>298</v>
      </c>
      <c r="F577" s="7" t="s">
        <v>662</v>
      </c>
      <c r="G577" s="7" t="s">
        <v>260</v>
      </c>
      <c r="H577" s="7" t="s">
        <v>261</v>
      </c>
      <c r="I577" s="7" t="s">
        <v>261</v>
      </c>
      <c r="J577" s="7" t="str">
        <f>IFERROR(__xludf.DUMMYFUNCTION("GOOGLETRANSLATE($I577, ""de"", ""en"")"),"NO SALARY DATA")</f>
        <v>NO SALARY DATA</v>
      </c>
      <c r="K577" s="7" t="s">
        <v>261</v>
      </c>
      <c r="L577" s="7"/>
      <c r="M577" s="7" t="s">
        <v>452</v>
      </c>
      <c r="N577" s="7" t="s">
        <v>260</v>
      </c>
      <c r="O577" s="7"/>
      <c r="P577" s="37"/>
      <c r="Q577" s="7"/>
    </row>
    <row r="578">
      <c r="A578" s="7">
        <v>573.0</v>
      </c>
      <c r="B578" s="7" t="s">
        <v>265</v>
      </c>
      <c r="C578" s="7" t="str">
        <f>IFERROR(__xludf.DUMMYFUNCTION("GOOGLETRANSLATE($B578, $A$2, $B$2)"),"More than 30 days ago")</f>
        <v>More than 30 days ago</v>
      </c>
      <c r="D578" s="7" t="s">
        <v>1446</v>
      </c>
      <c r="E578" s="7" t="s">
        <v>258</v>
      </c>
      <c r="F578" s="7" t="s">
        <v>1326</v>
      </c>
      <c r="G578" s="7" t="s">
        <v>260</v>
      </c>
      <c r="H578" s="7" t="s">
        <v>261</v>
      </c>
      <c r="I578" s="7" t="s">
        <v>261</v>
      </c>
      <c r="J578" s="7" t="str">
        <f>IFERROR(__xludf.DUMMYFUNCTION("GOOGLETRANSLATE($I578, ""de"", ""en"")"),"NO SALARY DATA")</f>
        <v>NO SALARY DATA</v>
      </c>
      <c r="K578" s="7" t="s">
        <v>261</v>
      </c>
      <c r="L578" s="7" t="s">
        <v>777</v>
      </c>
      <c r="M578" s="7" t="s">
        <v>263</v>
      </c>
      <c r="N578" s="7" t="s">
        <v>260</v>
      </c>
      <c r="O578" s="7"/>
      <c r="P578" s="37"/>
      <c r="Q578" s="7"/>
    </row>
    <row r="579">
      <c r="A579" s="7">
        <v>574.0</v>
      </c>
      <c r="B579" s="7" t="s">
        <v>265</v>
      </c>
      <c r="C579" s="7" t="str">
        <f>IFERROR(__xludf.DUMMYFUNCTION("GOOGLETRANSLATE($B579, $A$2, $B$2)"),"More than 30 days ago")</f>
        <v>More than 30 days ago</v>
      </c>
      <c r="D579" s="7" t="s">
        <v>1447</v>
      </c>
      <c r="E579" s="7" t="s">
        <v>1448</v>
      </c>
      <c r="F579" s="7" t="s">
        <v>1449</v>
      </c>
      <c r="G579" s="7" t="s">
        <v>260</v>
      </c>
      <c r="H579" s="7" t="s">
        <v>261</v>
      </c>
      <c r="I579" s="7" t="s">
        <v>261</v>
      </c>
      <c r="J579" s="7" t="str">
        <f>IFERROR(__xludf.DUMMYFUNCTION("GOOGLETRANSLATE($I579, ""de"", ""en"")"),"NO SALARY DATA")</f>
        <v>NO SALARY DATA</v>
      </c>
      <c r="K579" s="7" t="s">
        <v>261</v>
      </c>
      <c r="L579" s="7" t="s">
        <v>423</v>
      </c>
      <c r="M579" s="7" t="s">
        <v>263</v>
      </c>
      <c r="N579" s="7" t="s">
        <v>260</v>
      </c>
      <c r="O579" s="7"/>
      <c r="P579" s="37"/>
      <c r="Q579" s="7"/>
    </row>
    <row r="580">
      <c r="A580" s="7">
        <v>575.0</v>
      </c>
      <c r="B580" s="7" t="s">
        <v>265</v>
      </c>
      <c r="C580" s="7" t="str">
        <f>IFERROR(__xludf.DUMMYFUNCTION("GOOGLETRANSLATE($B580, $A$2, $B$2)"),"More than 30 days ago")</f>
        <v>More than 30 days ago</v>
      </c>
      <c r="D580" s="7" t="s">
        <v>706</v>
      </c>
      <c r="E580" s="7" t="s">
        <v>343</v>
      </c>
      <c r="F580" s="7" t="s">
        <v>1450</v>
      </c>
      <c r="G580" s="7" t="s">
        <v>260</v>
      </c>
      <c r="H580" s="7" t="s">
        <v>261</v>
      </c>
      <c r="I580" s="7" t="s">
        <v>261</v>
      </c>
      <c r="J580" s="7" t="str">
        <f>IFERROR(__xludf.DUMMYFUNCTION("GOOGLETRANSLATE($I580, ""de"", ""en"")"),"NO SALARY DATA")</f>
        <v>NO SALARY DATA</v>
      </c>
      <c r="K580" s="7" t="s">
        <v>261</v>
      </c>
      <c r="L580" s="7" t="s">
        <v>756</v>
      </c>
      <c r="M580" s="7" t="s">
        <v>263</v>
      </c>
      <c r="N580" s="7" t="s">
        <v>260</v>
      </c>
      <c r="O580" s="7"/>
      <c r="P580" s="37"/>
      <c r="Q580" s="7"/>
    </row>
    <row r="581">
      <c r="A581" s="7">
        <v>576.0</v>
      </c>
      <c r="B581" s="7" t="s">
        <v>508</v>
      </c>
      <c r="C581" s="7" t="str">
        <f>IFERROR(__xludf.DUMMYFUNCTION("GOOGLETRANSLATE($B581, $A$2, $B$2)"),"24 days ago")</f>
        <v>24 days ago</v>
      </c>
      <c r="D581" s="7" t="s">
        <v>1451</v>
      </c>
      <c r="E581" s="7" t="s">
        <v>280</v>
      </c>
      <c r="F581" s="7" t="s">
        <v>1452</v>
      </c>
      <c r="G581" s="7" t="s">
        <v>260</v>
      </c>
      <c r="H581" s="7" t="s">
        <v>261</v>
      </c>
      <c r="I581" s="7" t="s">
        <v>261</v>
      </c>
      <c r="J581" s="7" t="str">
        <f>IFERROR(__xludf.DUMMYFUNCTION("GOOGLETRANSLATE($I581, ""de"", ""en"")"),"NO SALARY DATA")</f>
        <v>NO SALARY DATA</v>
      </c>
      <c r="K581" s="7" t="s">
        <v>261</v>
      </c>
      <c r="L581" s="7" t="s">
        <v>1453</v>
      </c>
      <c r="M581" s="7" t="s">
        <v>263</v>
      </c>
      <c r="N581" s="7" t="s">
        <v>260</v>
      </c>
      <c r="O581" s="7"/>
      <c r="P581" s="37"/>
      <c r="Q581" s="7"/>
    </row>
    <row r="582">
      <c r="A582" s="7">
        <v>577.0</v>
      </c>
      <c r="B582" s="7" t="s">
        <v>371</v>
      </c>
      <c r="C582" s="7" t="str">
        <f>IFERROR(__xludf.DUMMYFUNCTION("GOOGLETRANSLATE($B582, $A$2, $B$2)"),"Straight")</f>
        <v>Straight</v>
      </c>
      <c r="D582" s="7" t="s">
        <v>1454</v>
      </c>
      <c r="E582" s="7" t="s">
        <v>1411</v>
      </c>
      <c r="F582" s="7" t="s">
        <v>1455</v>
      </c>
      <c r="G582" s="7" t="s">
        <v>260</v>
      </c>
      <c r="H582" s="7" t="s">
        <v>261</v>
      </c>
      <c r="I582" s="7" t="s">
        <v>261</v>
      </c>
      <c r="J582" s="7" t="str">
        <f>IFERROR(__xludf.DUMMYFUNCTION("GOOGLETRANSLATE($I582, ""de"", ""en"")"),"NO SALARY DATA")</f>
        <v>NO SALARY DATA</v>
      </c>
      <c r="K582" s="7" t="s">
        <v>261</v>
      </c>
      <c r="L582" s="7"/>
      <c r="M582" s="7" t="s">
        <v>263</v>
      </c>
      <c r="N582" s="7" t="s">
        <v>260</v>
      </c>
      <c r="O582" s="7"/>
      <c r="P582" s="37"/>
      <c r="Q582" s="7"/>
    </row>
    <row r="583">
      <c r="A583" s="7">
        <v>578.0</v>
      </c>
      <c r="B583" s="7" t="s">
        <v>265</v>
      </c>
      <c r="C583" s="7" t="str">
        <f>IFERROR(__xludf.DUMMYFUNCTION("GOOGLETRANSLATE($B583, $A$2, $B$2)"),"More than 30 days ago")</f>
        <v>More than 30 days ago</v>
      </c>
      <c r="D583" s="7" t="s">
        <v>1456</v>
      </c>
      <c r="E583" s="7" t="s">
        <v>280</v>
      </c>
      <c r="F583" s="7" t="s">
        <v>281</v>
      </c>
      <c r="G583" s="7" t="s">
        <v>260</v>
      </c>
      <c r="H583" s="7" t="s">
        <v>261</v>
      </c>
      <c r="I583" s="7" t="s">
        <v>261</v>
      </c>
      <c r="J583" s="7" t="str">
        <f>IFERROR(__xludf.DUMMYFUNCTION("GOOGLETRANSLATE($I583, ""de"", ""en"")"),"NO SALARY DATA")</f>
        <v>NO SALARY DATA</v>
      </c>
      <c r="K583" s="7" t="s">
        <v>261</v>
      </c>
      <c r="L583" s="7" t="s">
        <v>1093</v>
      </c>
      <c r="M583" s="7" t="s">
        <v>263</v>
      </c>
      <c r="N583" s="7" t="s">
        <v>260</v>
      </c>
      <c r="O583" s="7"/>
      <c r="P583" s="37"/>
      <c r="Q583" s="7"/>
    </row>
    <row r="584">
      <c r="A584" s="7">
        <v>579.0</v>
      </c>
      <c r="B584" s="7" t="s">
        <v>508</v>
      </c>
      <c r="C584" s="7" t="str">
        <f>IFERROR(__xludf.DUMMYFUNCTION("GOOGLETRANSLATE($B584, $A$2, $B$2)"),"24 days ago")</f>
        <v>24 days ago</v>
      </c>
      <c r="D584" s="7" t="s">
        <v>1457</v>
      </c>
      <c r="E584" s="7" t="s">
        <v>1458</v>
      </c>
      <c r="F584" s="7" t="s">
        <v>1459</v>
      </c>
      <c r="G584" s="7" t="s">
        <v>260</v>
      </c>
      <c r="H584" s="7" t="s">
        <v>261</v>
      </c>
      <c r="I584" s="7" t="s">
        <v>261</v>
      </c>
      <c r="J584" s="7" t="str">
        <f>IFERROR(__xludf.DUMMYFUNCTION("GOOGLETRANSLATE($I584, ""de"", ""en"")"),"NO SALARY DATA")</f>
        <v>NO SALARY DATA</v>
      </c>
      <c r="K584" s="7" t="s">
        <v>261</v>
      </c>
      <c r="L584" s="7" t="s">
        <v>410</v>
      </c>
      <c r="M584" s="7" t="s">
        <v>263</v>
      </c>
      <c r="N584" s="7" t="s">
        <v>260</v>
      </c>
      <c r="O584" s="7"/>
      <c r="P584" s="37"/>
      <c r="Q584" s="7"/>
    </row>
    <row r="585">
      <c r="A585" s="7">
        <v>580.0</v>
      </c>
      <c r="B585" s="7" t="s">
        <v>324</v>
      </c>
      <c r="C585" s="7" t="str">
        <f>IFERROR(__xludf.DUMMYFUNCTION("GOOGLETRANSLATE($B585, $A$2, $B$2)"),"3 days ago")</f>
        <v>3 days ago</v>
      </c>
      <c r="D585" s="7" t="s">
        <v>1460</v>
      </c>
      <c r="E585" s="7" t="s">
        <v>866</v>
      </c>
      <c r="F585" s="7" t="s">
        <v>1461</v>
      </c>
      <c r="G585" s="7" t="s">
        <v>260</v>
      </c>
      <c r="H585" s="7" t="s">
        <v>261</v>
      </c>
      <c r="I585" s="7" t="s">
        <v>261</v>
      </c>
      <c r="J585" s="7" t="str">
        <f>IFERROR(__xludf.DUMMYFUNCTION("GOOGLETRANSLATE($I585, ""de"", ""en"")"),"NO SALARY DATA")</f>
        <v>NO SALARY DATA</v>
      </c>
      <c r="K585" s="7" t="s">
        <v>261</v>
      </c>
      <c r="L585" s="7"/>
      <c r="M585" s="7" t="s">
        <v>452</v>
      </c>
      <c r="N585" s="7" t="s">
        <v>260</v>
      </c>
      <c r="O585" s="7"/>
      <c r="P585" s="35"/>
      <c r="Q585" s="7"/>
    </row>
    <row r="586">
      <c r="A586" s="7">
        <v>581.0</v>
      </c>
      <c r="B586" s="7" t="s">
        <v>265</v>
      </c>
      <c r="C586" s="7" t="str">
        <f>IFERROR(__xludf.DUMMYFUNCTION("GOOGLETRANSLATE($B586, $A$2, $B$2)"),"More than 30 days ago")</f>
        <v>More than 30 days ago</v>
      </c>
      <c r="D586" s="7" t="s">
        <v>1027</v>
      </c>
      <c r="E586" s="7" t="s">
        <v>348</v>
      </c>
      <c r="F586" s="7" t="s">
        <v>1028</v>
      </c>
      <c r="G586" s="7" t="s">
        <v>260</v>
      </c>
      <c r="H586" s="7" t="s">
        <v>261</v>
      </c>
      <c r="I586" s="7" t="s">
        <v>261</v>
      </c>
      <c r="J586" s="7" t="str">
        <f>IFERROR(__xludf.DUMMYFUNCTION("GOOGLETRANSLATE($I586, ""de"", ""en"")"),"NO SALARY DATA")</f>
        <v>NO SALARY DATA</v>
      </c>
      <c r="K586" s="7" t="s">
        <v>261</v>
      </c>
      <c r="L586" s="7" t="s">
        <v>282</v>
      </c>
      <c r="M586" s="7" t="s">
        <v>263</v>
      </c>
      <c r="N586" s="7" t="s">
        <v>704</v>
      </c>
      <c r="O586" s="7"/>
      <c r="P586" s="37"/>
      <c r="Q586" s="7"/>
    </row>
    <row r="587">
      <c r="A587" s="7">
        <v>582.0</v>
      </c>
      <c r="B587" s="7" t="s">
        <v>265</v>
      </c>
      <c r="C587" s="7" t="str">
        <f>IFERROR(__xludf.DUMMYFUNCTION("GOOGLETRANSLATE($B587, $A$2, $B$2)"),"More than 30 days ago")</f>
        <v>More than 30 days ago</v>
      </c>
      <c r="D587" s="7" t="s">
        <v>306</v>
      </c>
      <c r="E587" s="7" t="s">
        <v>1462</v>
      </c>
      <c r="F587" s="7" t="s">
        <v>1463</v>
      </c>
      <c r="G587" s="7" t="s">
        <v>260</v>
      </c>
      <c r="H587" s="7" t="s">
        <v>261</v>
      </c>
      <c r="I587" s="7" t="s">
        <v>261</v>
      </c>
      <c r="J587" s="7" t="str">
        <f>IFERROR(__xludf.DUMMYFUNCTION("GOOGLETRANSLATE($I587, ""de"", ""en"")"),"NO SALARY DATA")</f>
        <v>NO SALARY DATA</v>
      </c>
      <c r="K587" s="7" t="s">
        <v>261</v>
      </c>
      <c r="L587" s="7" t="s">
        <v>490</v>
      </c>
      <c r="M587" s="7" t="s">
        <v>263</v>
      </c>
      <c r="N587" s="7" t="s">
        <v>260</v>
      </c>
      <c r="O587" s="7"/>
      <c r="P587" s="37"/>
      <c r="Q587" s="7"/>
    </row>
    <row r="588">
      <c r="A588" s="7">
        <v>583.0</v>
      </c>
      <c r="B588" s="7" t="s">
        <v>265</v>
      </c>
      <c r="C588" s="7" t="str">
        <f>IFERROR(__xludf.DUMMYFUNCTION("GOOGLETRANSLATE($B588, $A$2, $B$2)"),"More than 30 days ago")</f>
        <v>More than 30 days ago</v>
      </c>
      <c r="D588" s="7" t="s">
        <v>1464</v>
      </c>
      <c r="E588" s="7" t="s">
        <v>1465</v>
      </c>
      <c r="F588" s="7" t="s">
        <v>1466</v>
      </c>
      <c r="G588" s="7" t="s">
        <v>260</v>
      </c>
      <c r="H588" s="7" t="s">
        <v>261</v>
      </c>
      <c r="I588" s="7" t="s">
        <v>261</v>
      </c>
      <c r="J588" s="7" t="str">
        <f>IFERROR(__xludf.DUMMYFUNCTION("GOOGLETRANSLATE($I588, ""de"", ""en"")"),"NO SALARY DATA")</f>
        <v>NO SALARY DATA</v>
      </c>
      <c r="K588" s="7" t="s">
        <v>261</v>
      </c>
      <c r="L588" s="7" t="s">
        <v>286</v>
      </c>
      <c r="M588" s="7" t="s">
        <v>263</v>
      </c>
      <c r="N588" s="7" t="s">
        <v>260</v>
      </c>
      <c r="O588" s="7"/>
      <c r="P588" s="37"/>
      <c r="Q588" s="7"/>
    </row>
    <row r="589">
      <c r="A589" s="7">
        <v>584.0</v>
      </c>
      <c r="B589" s="7" t="s">
        <v>508</v>
      </c>
      <c r="C589" s="7" t="str">
        <f>IFERROR(__xludf.DUMMYFUNCTION("GOOGLETRANSLATE($B589, $A$2, $B$2)"),"24 days ago")</f>
        <v>24 days ago</v>
      </c>
      <c r="D589" s="7" t="s">
        <v>1467</v>
      </c>
      <c r="E589" s="7" t="s">
        <v>258</v>
      </c>
      <c r="F589" s="7" t="s">
        <v>1468</v>
      </c>
      <c r="G589" s="7" t="s">
        <v>260</v>
      </c>
      <c r="H589" s="7" t="s">
        <v>261</v>
      </c>
      <c r="I589" s="7" t="s">
        <v>261</v>
      </c>
      <c r="J589" s="7" t="str">
        <f>IFERROR(__xludf.DUMMYFUNCTION("GOOGLETRANSLATE($I589, ""de"", ""en"")"),"NO SALARY DATA")</f>
        <v>NO SALARY DATA</v>
      </c>
      <c r="K589" s="7" t="s">
        <v>261</v>
      </c>
      <c r="L589" s="7" t="s">
        <v>1469</v>
      </c>
      <c r="M589" s="7" t="s">
        <v>274</v>
      </c>
      <c r="N589" s="7" t="s">
        <v>260</v>
      </c>
      <c r="O589" s="7"/>
      <c r="P589" s="37"/>
      <c r="Q589" s="7"/>
    </row>
    <row r="590">
      <c r="A590" s="7">
        <v>585.0</v>
      </c>
      <c r="B590" s="7" t="s">
        <v>265</v>
      </c>
      <c r="C590" s="7" t="str">
        <f>IFERROR(__xludf.DUMMYFUNCTION("GOOGLETRANSLATE($B590, $A$2, $B$2)"),"More than 30 days ago")</f>
        <v>More than 30 days ago</v>
      </c>
      <c r="D590" s="7" t="s">
        <v>1470</v>
      </c>
      <c r="E590" s="7" t="s">
        <v>258</v>
      </c>
      <c r="F590" s="7" t="s">
        <v>1471</v>
      </c>
      <c r="G590" s="7" t="s">
        <v>260</v>
      </c>
      <c r="H590" s="7" t="s">
        <v>261</v>
      </c>
      <c r="I590" s="7" t="s">
        <v>261</v>
      </c>
      <c r="J590" s="7" t="str">
        <f>IFERROR(__xludf.DUMMYFUNCTION("GOOGLETRANSLATE($I590, ""de"", ""en"")"),"NO SALARY DATA")</f>
        <v>NO SALARY DATA</v>
      </c>
      <c r="K590" s="7" t="s">
        <v>261</v>
      </c>
      <c r="L590" s="7" t="s">
        <v>472</v>
      </c>
      <c r="M590" s="7" t="s">
        <v>673</v>
      </c>
      <c r="N590" s="7" t="s">
        <v>260</v>
      </c>
      <c r="O590" s="7"/>
      <c r="P590" s="37"/>
      <c r="Q590" s="7"/>
    </row>
    <row r="591">
      <c r="A591" s="7">
        <v>586.0</v>
      </c>
      <c r="B591" s="7" t="s">
        <v>375</v>
      </c>
      <c r="C591" s="7" t="str">
        <f>IFERROR(__xludf.DUMMYFUNCTION("GOOGLETRANSLATE($B591, $A$2, $B$2)"),"6 days ago")</f>
        <v>6 days ago</v>
      </c>
      <c r="D591" s="7" t="s">
        <v>1472</v>
      </c>
      <c r="E591" s="7" t="s">
        <v>348</v>
      </c>
      <c r="F591" s="7" t="s">
        <v>1473</v>
      </c>
      <c r="G591" s="7" t="s">
        <v>260</v>
      </c>
      <c r="H591" s="7" t="s">
        <v>261</v>
      </c>
      <c r="I591" s="7" t="s">
        <v>261</v>
      </c>
      <c r="J591" s="7" t="str">
        <f>IFERROR(__xludf.DUMMYFUNCTION("GOOGLETRANSLATE($I591, ""de"", ""en"")"),"NO SALARY DATA")</f>
        <v>NO SALARY DATA</v>
      </c>
      <c r="K591" s="7" t="s">
        <v>261</v>
      </c>
      <c r="L591" s="7" t="s">
        <v>1474</v>
      </c>
      <c r="M591" s="7" t="s">
        <v>263</v>
      </c>
      <c r="N591" s="7" t="s">
        <v>260</v>
      </c>
      <c r="O591" s="7"/>
      <c r="P591" s="37"/>
      <c r="Q591" s="7"/>
    </row>
    <row r="592">
      <c r="A592" s="7">
        <v>587.0</v>
      </c>
      <c r="B592" s="7" t="s">
        <v>324</v>
      </c>
      <c r="C592" s="7" t="str">
        <f>IFERROR(__xludf.DUMMYFUNCTION("GOOGLETRANSLATE($B592, $A$2, $B$2)"),"3 days ago")</f>
        <v>3 days ago</v>
      </c>
      <c r="D592" s="7" t="s">
        <v>1475</v>
      </c>
      <c r="E592" s="7" t="s">
        <v>520</v>
      </c>
      <c r="F592" s="7" t="s">
        <v>1476</v>
      </c>
      <c r="G592" s="7" t="s">
        <v>260</v>
      </c>
      <c r="H592" s="7" t="s">
        <v>261</v>
      </c>
      <c r="I592" s="7" t="s">
        <v>261</v>
      </c>
      <c r="J592" s="7" t="str">
        <f>IFERROR(__xludf.DUMMYFUNCTION("GOOGLETRANSLATE($I592, ""de"", ""en"")"),"NO SALARY DATA")</f>
        <v>NO SALARY DATA</v>
      </c>
      <c r="K592" s="7" t="s">
        <v>261</v>
      </c>
      <c r="L592" s="7" t="s">
        <v>286</v>
      </c>
      <c r="M592" s="7" t="s">
        <v>263</v>
      </c>
      <c r="N592" s="7" t="s">
        <v>260</v>
      </c>
      <c r="O592" s="7"/>
      <c r="P592" s="35"/>
      <c r="Q592" s="7"/>
    </row>
    <row r="593">
      <c r="A593" s="7">
        <v>588.0</v>
      </c>
      <c r="B593" s="7" t="s">
        <v>265</v>
      </c>
      <c r="C593" s="7" t="str">
        <f>IFERROR(__xludf.DUMMYFUNCTION("GOOGLETRANSLATE($B593, $A$2, $B$2)"),"More than 30 days ago")</f>
        <v>More than 30 days ago</v>
      </c>
      <c r="D593" s="7" t="s">
        <v>1477</v>
      </c>
      <c r="E593" s="7" t="s">
        <v>343</v>
      </c>
      <c r="F593" s="7" t="s">
        <v>454</v>
      </c>
      <c r="G593" s="7" t="s">
        <v>260</v>
      </c>
      <c r="H593" s="7" t="s">
        <v>261</v>
      </c>
      <c r="I593" s="7" t="s">
        <v>261</v>
      </c>
      <c r="J593" s="7" t="str">
        <f>IFERROR(__xludf.DUMMYFUNCTION("GOOGLETRANSLATE($I593, ""de"", ""en"")"),"NO SALARY DATA")</f>
        <v>NO SALARY DATA</v>
      </c>
      <c r="K593" s="7" t="s">
        <v>261</v>
      </c>
      <c r="L593" s="7" t="s">
        <v>433</v>
      </c>
      <c r="M593" s="7" t="s">
        <v>263</v>
      </c>
      <c r="N593" s="7" t="s">
        <v>331</v>
      </c>
      <c r="O593" s="7"/>
      <c r="P593" s="35"/>
      <c r="Q593" s="7"/>
    </row>
    <row r="594">
      <c r="A594" s="7">
        <v>589.0</v>
      </c>
      <c r="B594" s="7" t="s">
        <v>375</v>
      </c>
      <c r="C594" s="7" t="str">
        <f>IFERROR(__xludf.DUMMYFUNCTION("GOOGLETRANSLATE($B594, $A$2, $B$2)"),"6 days ago")</f>
        <v>6 days ago</v>
      </c>
      <c r="D594" s="7" t="s">
        <v>1478</v>
      </c>
      <c r="E594" s="7" t="s">
        <v>271</v>
      </c>
      <c r="F594" s="7" t="s">
        <v>378</v>
      </c>
      <c r="G594" s="7" t="s">
        <v>260</v>
      </c>
      <c r="H594" s="7" t="s">
        <v>261</v>
      </c>
      <c r="I594" s="7" t="s">
        <v>261</v>
      </c>
      <c r="J594" s="7" t="str">
        <f>IFERROR(__xludf.DUMMYFUNCTION("GOOGLETRANSLATE($I594, ""de"", ""en"")"),"NO SALARY DATA")</f>
        <v>NO SALARY DATA</v>
      </c>
      <c r="K594" s="7" t="s">
        <v>261</v>
      </c>
      <c r="L594" s="7"/>
      <c r="M594" s="7" t="s">
        <v>263</v>
      </c>
      <c r="N594" s="7" t="s">
        <v>275</v>
      </c>
      <c r="O594" s="7"/>
      <c r="P594" s="35"/>
      <c r="Q594" s="7"/>
    </row>
    <row r="595">
      <c r="A595" s="7">
        <v>590.0</v>
      </c>
      <c r="B595" s="7" t="s">
        <v>346</v>
      </c>
      <c r="C595" s="7" t="str">
        <f>IFERROR(__xludf.DUMMYFUNCTION("GOOGLETRANSLATE($B595, $A$2, $B$2)"),"12 days ago")</f>
        <v>12 days ago</v>
      </c>
      <c r="D595" s="7" t="s">
        <v>1479</v>
      </c>
      <c r="E595" s="7" t="s">
        <v>401</v>
      </c>
      <c r="F595" s="7" t="s">
        <v>1480</v>
      </c>
      <c r="G595" s="7" t="s">
        <v>260</v>
      </c>
      <c r="H595" s="7" t="s">
        <v>261</v>
      </c>
      <c r="I595" s="7" t="s">
        <v>261</v>
      </c>
      <c r="J595" s="7" t="str">
        <f>IFERROR(__xludf.DUMMYFUNCTION("GOOGLETRANSLATE($I595, ""de"", ""en"")"),"NO SALARY DATA")</f>
        <v>NO SALARY DATA</v>
      </c>
      <c r="K595" s="7" t="s">
        <v>261</v>
      </c>
      <c r="L595" s="7" t="s">
        <v>286</v>
      </c>
      <c r="M595" s="7" t="s">
        <v>263</v>
      </c>
      <c r="N595" s="7" t="s">
        <v>491</v>
      </c>
      <c r="O595" s="7"/>
      <c r="P595" s="35"/>
      <c r="Q595" s="7"/>
    </row>
    <row r="596">
      <c r="A596" s="7">
        <v>591.0</v>
      </c>
      <c r="B596" s="7" t="s">
        <v>637</v>
      </c>
      <c r="C596" s="7" t="str">
        <f>IFERROR(__xludf.DUMMYFUNCTION("GOOGLETRANSLATE($B596, $A$2, $B$2)"),"17 days ago")</f>
        <v>17 days ago</v>
      </c>
      <c r="D596" s="7" t="s">
        <v>960</v>
      </c>
      <c r="E596" s="7" t="s">
        <v>742</v>
      </c>
      <c r="F596" s="7" t="s">
        <v>1200</v>
      </c>
      <c r="G596" s="7" t="s">
        <v>260</v>
      </c>
      <c r="H596" s="7" t="s">
        <v>261</v>
      </c>
      <c r="I596" s="7" t="s">
        <v>261</v>
      </c>
      <c r="J596" s="7" t="str">
        <f>IFERROR(__xludf.DUMMYFUNCTION("GOOGLETRANSLATE($I596, ""de"", ""en"")"),"NO SALARY DATA")</f>
        <v>NO SALARY DATA</v>
      </c>
      <c r="K596" s="7" t="s">
        <v>261</v>
      </c>
      <c r="L596" s="7" t="s">
        <v>410</v>
      </c>
      <c r="M596" s="7" t="s">
        <v>263</v>
      </c>
      <c r="N596" s="7" t="s">
        <v>532</v>
      </c>
      <c r="O596" s="7"/>
      <c r="P596" s="37"/>
      <c r="Q596" s="7"/>
    </row>
    <row r="597">
      <c r="A597" s="7">
        <v>592.0</v>
      </c>
      <c r="B597" s="7" t="s">
        <v>265</v>
      </c>
      <c r="C597" s="7" t="str">
        <f>IFERROR(__xludf.DUMMYFUNCTION("GOOGLETRANSLATE($B597, $A$2, $B$2)"),"More than 30 days ago")</f>
        <v>More than 30 days ago</v>
      </c>
      <c r="D597" s="7" t="s">
        <v>762</v>
      </c>
      <c r="E597" s="7" t="s">
        <v>401</v>
      </c>
      <c r="F597" s="7" t="s">
        <v>1481</v>
      </c>
      <c r="G597" s="7" t="s">
        <v>260</v>
      </c>
      <c r="H597" s="7" t="s">
        <v>261</v>
      </c>
      <c r="I597" s="7" t="s">
        <v>261</v>
      </c>
      <c r="J597" s="7" t="str">
        <f>IFERROR(__xludf.DUMMYFUNCTION("GOOGLETRANSLATE($I597, ""de"", ""en"")"),"NO SALARY DATA")</f>
        <v>NO SALARY DATA</v>
      </c>
      <c r="K597" s="7" t="s">
        <v>261</v>
      </c>
      <c r="L597" s="7" t="s">
        <v>1172</v>
      </c>
      <c r="M597" s="7" t="s">
        <v>263</v>
      </c>
      <c r="N597" s="7" t="s">
        <v>260</v>
      </c>
      <c r="O597" s="7"/>
      <c r="P597" s="35"/>
      <c r="Q597" s="7"/>
    </row>
    <row r="598">
      <c r="A598" s="7">
        <v>593.0</v>
      </c>
      <c r="B598" s="7" t="s">
        <v>324</v>
      </c>
      <c r="C598" s="7" t="str">
        <f>IFERROR(__xludf.DUMMYFUNCTION("GOOGLETRANSLATE($B598, $A$2, $B$2)"),"3 days ago")</f>
        <v>3 days ago</v>
      </c>
      <c r="D598" s="7" t="s">
        <v>1482</v>
      </c>
      <c r="E598" s="7" t="s">
        <v>1483</v>
      </c>
      <c r="F598" s="7" t="s">
        <v>1484</v>
      </c>
      <c r="G598" s="7" t="s">
        <v>260</v>
      </c>
      <c r="H598" s="7" t="s">
        <v>261</v>
      </c>
      <c r="I598" s="7" t="s">
        <v>261</v>
      </c>
      <c r="J598" s="7" t="str">
        <f>IFERROR(__xludf.DUMMYFUNCTION("GOOGLETRANSLATE($I598, ""de"", ""en"")"),"NO SALARY DATA")</f>
        <v>NO SALARY DATA</v>
      </c>
      <c r="K598" s="7" t="s">
        <v>261</v>
      </c>
      <c r="L598" s="7" t="s">
        <v>286</v>
      </c>
      <c r="M598" s="7" t="s">
        <v>274</v>
      </c>
      <c r="N598" s="7" t="s">
        <v>301</v>
      </c>
      <c r="O598" s="7"/>
      <c r="P598" s="35"/>
      <c r="Q598" s="7"/>
    </row>
    <row r="599">
      <c r="A599" s="7">
        <v>594.0</v>
      </c>
      <c r="B599" s="7" t="s">
        <v>324</v>
      </c>
      <c r="C599" s="7" t="str">
        <f>IFERROR(__xludf.DUMMYFUNCTION("GOOGLETRANSLATE($B599, $A$2, $B$2)"),"3 days ago")</f>
        <v>3 days ago</v>
      </c>
      <c r="D599" s="7" t="s">
        <v>1485</v>
      </c>
      <c r="E599" s="7" t="s">
        <v>271</v>
      </c>
      <c r="F599" s="7" t="s">
        <v>1486</v>
      </c>
      <c r="G599" s="7" t="s">
        <v>260</v>
      </c>
      <c r="H599" s="7" t="s">
        <v>261</v>
      </c>
      <c r="I599" s="7" t="s">
        <v>261</v>
      </c>
      <c r="J599" s="7" t="str">
        <f>IFERROR(__xludf.DUMMYFUNCTION("GOOGLETRANSLATE($I599, ""de"", ""en"")"),"NO SALARY DATA")</f>
        <v>NO SALARY DATA</v>
      </c>
      <c r="K599" s="7" t="s">
        <v>261</v>
      </c>
      <c r="L599" s="7" t="s">
        <v>1487</v>
      </c>
      <c r="M599" s="7" t="s">
        <v>263</v>
      </c>
      <c r="N599" s="7" t="s">
        <v>473</v>
      </c>
      <c r="O599" s="7"/>
      <c r="P599" s="37"/>
      <c r="Q599" s="7"/>
    </row>
    <row r="600">
      <c r="A600" s="7">
        <v>595.0</v>
      </c>
      <c r="B600" s="7" t="s">
        <v>265</v>
      </c>
      <c r="C600" s="7" t="str">
        <f>IFERROR(__xludf.DUMMYFUNCTION("GOOGLETRANSLATE($B600, $A$2, $B$2)"),"More than 30 days ago")</f>
        <v>More than 30 days ago</v>
      </c>
      <c r="D600" s="7" t="s">
        <v>1488</v>
      </c>
      <c r="E600" s="7" t="s">
        <v>271</v>
      </c>
      <c r="F600" s="7" t="s">
        <v>1489</v>
      </c>
      <c r="G600" s="7" t="s">
        <v>260</v>
      </c>
      <c r="H600" s="7" t="s">
        <v>261</v>
      </c>
      <c r="I600" s="7" t="s">
        <v>261</v>
      </c>
      <c r="J600" s="7" t="str">
        <f>IFERROR(__xludf.DUMMYFUNCTION("GOOGLETRANSLATE($I600, ""de"", ""en"")"),"NO SALARY DATA")</f>
        <v>NO SALARY DATA</v>
      </c>
      <c r="K600" s="7" t="s">
        <v>261</v>
      </c>
      <c r="L600" s="7" t="s">
        <v>1490</v>
      </c>
      <c r="M600" s="7" t="s">
        <v>263</v>
      </c>
      <c r="N600" s="7" t="s">
        <v>260</v>
      </c>
      <c r="O600" s="7"/>
      <c r="P600" s="37"/>
      <c r="Q600" s="7"/>
    </row>
    <row r="601">
      <c r="A601" s="7">
        <v>596.0</v>
      </c>
      <c r="B601" s="7" t="s">
        <v>265</v>
      </c>
      <c r="C601" s="7" t="str">
        <f>IFERROR(__xludf.DUMMYFUNCTION("GOOGLETRANSLATE($B601, $A$2, $B$2)"),"More than 30 days ago")</f>
        <v>More than 30 days ago</v>
      </c>
      <c r="D601" s="7" t="s">
        <v>1063</v>
      </c>
      <c r="E601" s="7" t="s">
        <v>258</v>
      </c>
      <c r="F601" s="7" t="s">
        <v>1367</v>
      </c>
      <c r="G601" s="7" t="s">
        <v>260</v>
      </c>
      <c r="H601" s="7" t="s">
        <v>261</v>
      </c>
      <c r="I601" s="7" t="s">
        <v>261</v>
      </c>
      <c r="J601" s="7" t="str">
        <f>IFERROR(__xludf.DUMMYFUNCTION("GOOGLETRANSLATE($I601, ""de"", ""en"")"),"NO SALARY DATA")</f>
        <v>NO SALARY DATA</v>
      </c>
      <c r="K601" s="7" t="s">
        <v>261</v>
      </c>
      <c r="L601" s="7" t="s">
        <v>345</v>
      </c>
      <c r="M601" s="7" t="s">
        <v>263</v>
      </c>
      <c r="N601" s="7" t="s">
        <v>260</v>
      </c>
      <c r="O601" s="7"/>
      <c r="P601" s="37"/>
      <c r="Q601" s="7"/>
    </row>
    <row r="602">
      <c r="A602" s="7">
        <v>597.0</v>
      </c>
      <c r="B602" s="7" t="s">
        <v>265</v>
      </c>
      <c r="C602" s="7" t="str">
        <f>IFERROR(__xludf.DUMMYFUNCTION("GOOGLETRANSLATE($B602, $A$2, $B$2)"),"More than 30 days ago")</f>
        <v>More than 30 days ago</v>
      </c>
      <c r="D602" s="7" t="s">
        <v>668</v>
      </c>
      <c r="E602" s="7" t="s">
        <v>258</v>
      </c>
      <c r="F602" s="7" t="s">
        <v>1491</v>
      </c>
      <c r="G602" s="7" t="s">
        <v>260</v>
      </c>
      <c r="H602" s="7" t="s">
        <v>261</v>
      </c>
      <c r="I602" s="7" t="s">
        <v>261</v>
      </c>
      <c r="J602" s="7" t="str">
        <f>IFERROR(__xludf.DUMMYFUNCTION("GOOGLETRANSLATE($I602, ""de"", ""en"")"),"NO SALARY DATA")</f>
        <v>NO SALARY DATA</v>
      </c>
      <c r="K602" s="7" t="s">
        <v>261</v>
      </c>
      <c r="L602" s="7" t="s">
        <v>1492</v>
      </c>
      <c r="M602" s="7" t="s">
        <v>263</v>
      </c>
      <c r="N602" s="7" t="s">
        <v>260</v>
      </c>
      <c r="O602" s="7"/>
      <c r="P602" s="37"/>
      <c r="Q602" s="7"/>
    </row>
    <row r="603">
      <c r="A603" s="7">
        <v>598.0</v>
      </c>
      <c r="B603" s="7" t="s">
        <v>265</v>
      </c>
      <c r="C603" s="7" t="str">
        <f>IFERROR(__xludf.DUMMYFUNCTION("GOOGLETRANSLATE($B603, $A$2, $B$2)"),"More than 30 days ago")</f>
        <v>More than 30 days ago</v>
      </c>
      <c r="D603" s="7" t="s">
        <v>1493</v>
      </c>
      <c r="E603" s="7" t="s">
        <v>348</v>
      </c>
      <c r="F603" s="7" t="s">
        <v>1225</v>
      </c>
      <c r="G603" s="7" t="s">
        <v>260</v>
      </c>
      <c r="H603" s="7" t="s">
        <v>261</v>
      </c>
      <c r="I603" s="7" t="s">
        <v>261</v>
      </c>
      <c r="J603" s="7" t="str">
        <f>IFERROR(__xludf.DUMMYFUNCTION("GOOGLETRANSLATE($I603, ""de"", ""en"")"),"NO SALARY DATA")</f>
        <v>NO SALARY DATA</v>
      </c>
      <c r="K603" s="7" t="s">
        <v>261</v>
      </c>
      <c r="L603" s="7" t="s">
        <v>777</v>
      </c>
      <c r="M603" s="7" t="s">
        <v>263</v>
      </c>
      <c r="N603" s="7" t="s">
        <v>260</v>
      </c>
      <c r="O603" s="7"/>
      <c r="P603" s="37"/>
      <c r="Q603" s="7"/>
    </row>
    <row r="604">
      <c r="A604" s="7">
        <v>599.0</v>
      </c>
      <c r="B604" s="7" t="s">
        <v>324</v>
      </c>
      <c r="C604" s="7" t="str">
        <f>IFERROR(__xludf.DUMMYFUNCTION("GOOGLETRANSLATE($B604, $A$2, $B$2)"),"3 days ago")</f>
        <v>3 days ago</v>
      </c>
      <c r="D604" s="7" t="s">
        <v>1494</v>
      </c>
      <c r="E604" s="7" t="s">
        <v>271</v>
      </c>
      <c r="F604" s="7" t="s">
        <v>1495</v>
      </c>
      <c r="G604" s="7" t="s">
        <v>260</v>
      </c>
      <c r="H604" s="7" t="s">
        <v>261</v>
      </c>
      <c r="I604" s="7" t="s">
        <v>261</v>
      </c>
      <c r="J604" s="7" t="str">
        <f>IFERROR(__xludf.DUMMYFUNCTION("GOOGLETRANSLATE($I604, ""de"", ""en"")"),"NO SALARY DATA")</f>
        <v>NO SALARY DATA</v>
      </c>
      <c r="K604" s="7" t="s">
        <v>261</v>
      </c>
      <c r="L604" s="7"/>
      <c r="M604" s="7" t="s">
        <v>263</v>
      </c>
      <c r="N604" s="7" t="s">
        <v>260</v>
      </c>
      <c r="O604" s="7"/>
      <c r="P604" s="35"/>
      <c r="Q604" s="7"/>
    </row>
    <row r="605">
      <c r="A605" s="7">
        <v>600.0</v>
      </c>
      <c r="B605" s="7" t="s">
        <v>395</v>
      </c>
      <c r="C605" s="7" t="str">
        <f>IFERROR(__xludf.DUMMYFUNCTION("GOOGLETRANSLATE($B605, $A$2, $B$2)"),"21 days ago")</f>
        <v>21 days ago</v>
      </c>
      <c r="D605" s="7" t="s">
        <v>1064</v>
      </c>
      <c r="E605" s="7" t="s">
        <v>271</v>
      </c>
      <c r="F605" s="7" t="s">
        <v>397</v>
      </c>
      <c r="G605" s="7" t="s">
        <v>260</v>
      </c>
      <c r="H605" s="7" t="s">
        <v>261</v>
      </c>
      <c r="I605" s="7" t="s">
        <v>261</v>
      </c>
      <c r="J605" s="7" t="str">
        <f>IFERROR(__xludf.DUMMYFUNCTION("GOOGLETRANSLATE($I605, ""de"", ""en"")"),"NO SALARY DATA")</f>
        <v>NO SALARY DATA</v>
      </c>
      <c r="K605" s="7" t="s">
        <v>261</v>
      </c>
      <c r="L605" s="7" t="s">
        <v>1065</v>
      </c>
      <c r="M605" s="7" t="s">
        <v>673</v>
      </c>
      <c r="N605" s="7" t="s">
        <v>399</v>
      </c>
      <c r="O605" s="7"/>
      <c r="P605" s="35"/>
      <c r="Q605" s="7"/>
    </row>
    <row r="606">
      <c r="A606" s="7">
        <v>601.0</v>
      </c>
      <c r="B606" s="7" t="s">
        <v>265</v>
      </c>
      <c r="C606" s="7" t="str">
        <f>IFERROR(__xludf.DUMMYFUNCTION("GOOGLETRANSLATE($B606, $A$2, $B$2)"),"More than 30 days ago")</f>
        <v>More than 30 days ago</v>
      </c>
      <c r="D606" s="7" t="s">
        <v>1280</v>
      </c>
      <c r="E606" s="7" t="s">
        <v>258</v>
      </c>
      <c r="F606" s="7" t="s">
        <v>1217</v>
      </c>
      <c r="G606" s="7" t="s">
        <v>260</v>
      </c>
      <c r="H606" s="7" t="s">
        <v>261</v>
      </c>
      <c r="I606" s="7" t="s">
        <v>261</v>
      </c>
      <c r="J606" s="7" t="str">
        <f>IFERROR(__xludf.DUMMYFUNCTION("GOOGLETRANSLATE($I606, ""de"", ""en"")"),"NO SALARY DATA")</f>
        <v>NO SALARY DATA</v>
      </c>
      <c r="K606" s="7" t="s">
        <v>261</v>
      </c>
      <c r="L606" s="7" t="s">
        <v>908</v>
      </c>
      <c r="M606" s="7" t="s">
        <v>263</v>
      </c>
      <c r="N606" s="7" t="s">
        <v>725</v>
      </c>
      <c r="O606" s="7"/>
      <c r="P606" s="37"/>
      <c r="Q606" s="7"/>
    </row>
    <row r="607">
      <c r="A607" s="7">
        <v>602.0</v>
      </c>
      <c r="B607" s="7" t="s">
        <v>265</v>
      </c>
      <c r="C607" s="7" t="str">
        <f>IFERROR(__xludf.DUMMYFUNCTION("GOOGLETRANSLATE($B607, $A$2, $B$2)"),"More than 30 days ago")</f>
        <v>More than 30 days ago</v>
      </c>
      <c r="D607" s="7" t="s">
        <v>1496</v>
      </c>
      <c r="E607" s="7" t="s">
        <v>1458</v>
      </c>
      <c r="F607" s="7" t="s">
        <v>1497</v>
      </c>
      <c r="G607" s="7" t="s">
        <v>260</v>
      </c>
      <c r="H607" s="7" t="s">
        <v>261</v>
      </c>
      <c r="I607" s="7" t="s">
        <v>261</v>
      </c>
      <c r="J607" s="7" t="str">
        <f>IFERROR(__xludf.DUMMYFUNCTION("GOOGLETRANSLATE($I607, ""de"", ""en"")"),"NO SALARY DATA")</f>
        <v>NO SALARY DATA</v>
      </c>
      <c r="K607" s="7" t="s">
        <v>261</v>
      </c>
      <c r="L607" s="7" t="s">
        <v>1498</v>
      </c>
      <c r="M607" s="7" t="s">
        <v>263</v>
      </c>
      <c r="N607" s="7" t="s">
        <v>260</v>
      </c>
      <c r="O607" s="7"/>
      <c r="P607" s="35"/>
      <c r="Q607" s="7"/>
    </row>
    <row r="608">
      <c r="A608" s="7">
        <v>603.0</v>
      </c>
      <c r="B608" s="7" t="s">
        <v>442</v>
      </c>
      <c r="C608" s="7" t="str">
        <f>IFERROR(__xludf.DUMMYFUNCTION("GOOGLETRANSLATE($B608, $A$2, $B$2)"),"26 days ago")</f>
        <v>26 days ago</v>
      </c>
      <c r="D608" s="7" t="s">
        <v>1499</v>
      </c>
      <c r="E608" s="7" t="s">
        <v>1500</v>
      </c>
      <c r="F608" s="7" t="s">
        <v>1501</v>
      </c>
      <c r="G608" s="7" t="s">
        <v>260</v>
      </c>
      <c r="H608" s="7" t="s">
        <v>261</v>
      </c>
      <c r="I608" s="7" t="s">
        <v>261</v>
      </c>
      <c r="J608" s="7" t="str">
        <f>IFERROR(__xludf.DUMMYFUNCTION("GOOGLETRANSLATE($I608, ""de"", ""en"")"),"NO SALARY DATA")</f>
        <v>NO SALARY DATA</v>
      </c>
      <c r="K608" s="7" t="s">
        <v>261</v>
      </c>
      <c r="L608" s="7"/>
      <c r="M608" s="7" t="s">
        <v>263</v>
      </c>
      <c r="N608" s="7" t="s">
        <v>1502</v>
      </c>
      <c r="O608" s="7"/>
      <c r="P608" s="37"/>
      <c r="Q608" s="7"/>
    </row>
    <row r="609">
      <c r="A609" s="7">
        <v>604.0</v>
      </c>
      <c r="B609" s="7" t="s">
        <v>637</v>
      </c>
      <c r="C609" s="7" t="str">
        <f>IFERROR(__xludf.DUMMYFUNCTION("GOOGLETRANSLATE($B609, $A$2, $B$2)"),"17 days ago")</f>
        <v>17 days ago</v>
      </c>
      <c r="D609" s="7" t="s">
        <v>1503</v>
      </c>
      <c r="E609" s="7" t="s">
        <v>348</v>
      </c>
      <c r="F609" s="7" t="s">
        <v>655</v>
      </c>
      <c r="G609" s="7" t="s">
        <v>260</v>
      </c>
      <c r="H609" s="7" t="s">
        <v>261</v>
      </c>
      <c r="I609" s="7" t="s">
        <v>261</v>
      </c>
      <c r="J609" s="7" t="str">
        <f>IFERROR(__xludf.DUMMYFUNCTION("GOOGLETRANSLATE($I609, ""de"", ""en"")"),"NO SALARY DATA")</f>
        <v>NO SALARY DATA</v>
      </c>
      <c r="K609" s="7" t="s">
        <v>261</v>
      </c>
      <c r="L609" s="7" t="s">
        <v>312</v>
      </c>
      <c r="M609" s="7" t="s">
        <v>263</v>
      </c>
      <c r="N609" s="7" t="s">
        <v>260</v>
      </c>
      <c r="O609" s="7"/>
      <c r="P609" s="35"/>
      <c r="Q609" s="7"/>
    </row>
    <row r="610">
      <c r="A610" s="7">
        <v>605.0</v>
      </c>
      <c r="B610" s="7" t="s">
        <v>302</v>
      </c>
      <c r="C610" s="7" t="str">
        <f>IFERROR(__xludf.DUMMYFUNCTION("GOOGLETRANSLATE($B610, $A$2, $B$2)"),"today")</f>
        <v>today</v>
      </c>
      <c r="D610" s="7" t="s">
        <v>1504</v>
      </c>
      <c r="E610" s="7" t="s">
        <v>408</v>
      </c>
      <c r="F610" s="7" t="s">
        <v>636</v>
      </c>
      <c r="G610" s="7" t="s">
        <v>260</v>
      </c>
      <c r="H610" s="7" t="s">
        <v>261</v>
      </c>
      <c r="I610" s="7" t="s">
        <v>261</v>
      </c>
      <c r="J610" s="7" t="str">
        <f>IFERROR(__xludf.DUMMYFUNCTION("GOOGLETRANSLATE($I610, ""de"", ""en"")"),"NO SALARY DATA")</f>
        <v>NO SALARY DATA</v>
      </c>
      <c r="K610" s="7" t="s">
        <v>261</v>
      </c>
      <c r="L610" s="7"/>
      <c r="M610" s="7" t="s">
        <v>263</v>
      </c>
      <c r="N610" s="7" t="s">
        <v>275</v>
      </c>
      <c r="O610" s="7"/>
      <c r="P610" s="37"/>
      <c r="Q610" s="7"/>
    </row>
    <row r="611">
      <c r="A611" s="7">
        <v>606.0</v>
      </c>
      <c r="B611" s="7" t="s">
        <v>375</v>
      </c>
      <c r="C611" s="7" t="str">
        <f>IFERROR(__xludf.DUMMYFUNCTION("GOOGLETRANSLATE($B611, $A$2, $B$2)"),"6 days ago")</f>
        <v>6 days ago</v>
      </c>
      <c r="D611" s="7" t="s">
        <v>1505</v>
      </c>
      <c r="E611" s="7" t="s">
        <v>1506</v>
      </c>
      <c r="F611" s="7" t="s">
        <v>1507</v>
      </c>
      <c r="G611" s="7" t="s">
        <v>1508</v>
      </c>
      <c r="H611" s="7">
        <v>2000.0</v>
      </c>
      <c r="I611" s="7" t="s">
        <v>811</v>
      </c>
      <c r="J611" s="7" t="str">
        <f>IFERROR(__xludf.DUMMYFUNCTION("GOOGLETRANSLATE($I611, ""de"", ""en"")"),"month")</f>
        <v>month</v>
      </c>
      <c r="K611" s="7">
        <v>24000.0</v>
      </c>
      <c r="L611" s="7" t="s">
        <v>286</v>
      </c>
      <c r="M611" s="7" t="s">
        <v>274</v>
      </c>
      <c r="N611" s="7" t="s">
        <v>260</v>
      </c>
      <c r="O611" s="7"/>
      <c r="P611" s="37"/>
      <c r="Q611" s="7"/>
    </row>
    <row r="612">
      <c r="A612" s="7">
        <v>607.0</v>
      </c>
      <c r="B612" s="7" t="s">
        <v>392</v>
      </c>
      <c r="C612" s="7" t="str">
        <f>IFERROR(__xludf.DUMMYFUNCTION("GOOGLETRANSLATE($B612, $A$2, $B$2)"),"10 days ago")</f>
        <v>10 days ago</v>
      </c>
      <c r="D612" s="7" t="s">
        <v>1236</v>
      </c>
      <c r="E612" s="7" t="s">
        <v>539</v>
      </c>
      <c r="F612" s="7" t="s">
        <v>1237</v>
      </c>
      <c r="G612" s="7" t="s">
        <v>260</v>
      </c>
      <c r="H612" s="7" t="s">
        <v>261</v>
      </c>
      <c r="I612" s="7" t="s">
        <v>261</v>
      </c>
      <c r="J612" s="7" t="str">
        <f>IFERROR(__xludf.DUMMYFUNCTION("GOOGLETRANSLATE($I612, ""de"", ""en"")"),"NO SALARY DATA")</f>
        <v>NO SALARY DATA</v>
      </c>
      <c r="K612" s="7" t="s">
        <v>261</v>
      </c>
      <c r="L612" s="7" t="s">
        <v>441</v>
      </c>
      <c r="M612" s="7" t="s">
        <v>263</v>
      </c>
      <c r="N612" s="7" t="s">
        <v>260</v>
      </c>
      <c r="O612" s="7"/>
      <c r="P612" s="35"/>
      <c r="Q612" s="7"/>
    </row>
    <row r="613">
      <c r="A613" s="7">
        <v>608.0</v>
      </c>
      <c r="B613" s="7" t="s">
        <v>442</v>
      </c>
      <c r="C613" s="7" t="str">
        <f>IFERROR(__xludf.DUMMYFUNCTION("GOOGLETRANSLATE($B613, $A$2, $B$2)"),"26 days ago")</f>
        <v>26 days ago</v>
      </c>
      <c r="D613" s="7" t="s">
        <v>1509</v>
      </c>
      <c r="E613" s="7" t="s">
        <v>1510</v>
      </c>
      <c r="F613" s="7" t="s">
        <v>1511</v>
      </c>
      <c r="G613" s="7" t="s">
        <v>260</v>
      </c>
      <c r="H613" s="7" t="s">
        <v>261</v>
      </c>
      <c r="I613" s="7" t="s">
        <v>261</v>
      </c>
      <c r="J613" s="7" t="str">
        <f>IFERROR(__xludf.DUMMYFUNCTION("GOOGLETRANSLATE($I613, ""de"", ""en"")"),"NO SALARY DATA")</f>
        <v>NO SALARY DATA</v>
      </c>
      <c r="K613" s="7" t="s">
        <v>261</v>
      </c>
      <c r="L613" s="7" t="s">
        <v>1512</v>
      </c>
      <c r="M613" s="7" t="s">
        <v>263</v>
      </c>
      <c r="N613" s="7" t="s">
        <v>1287</v>
      </c>
      <c r="O613" s="7"/>
      <c r="P613" s="37"/>
      <c r="Q613" s="7"/>
    </row>
    <row r="614">
      <c r="A614" s="7">
        <v>609.0</v>
      </c>
      <c r="B614" s="7" t="s">
        <v>292</v>
      </c>
      <c r="C614" s="7" t="str">
        <f>IFERROR(__xludf.DUMMYFUNCTION("GOOGLETRANSLATE($B614, $A$2, $B$2)"),"1 day ago")</f>
        <v>1 day ago</v>
      </c>
      <c r="D614" s="7" t="s">
        <v>668</v>
      </c>
      <c r="E614" s="7" t="s">
        <v>258</v>
      </c>
      <c r="F614" s="7" t="s">
        <v>722</v>
      </c>
      <c r="G614" s="7" t="s">
        <v>260</v>
      </c>
      <c r="H614" s="7" t="s">
        <v>261</v>
      </c>
      <c r="I614" s="7" t="s">
        <v>261</v>
      </c>
      <c r="J614" s="7" t="str">
        <f>IFERROR(__xludf.DUMMYFUNCTION("GOOGLETRANSLATE($I614, ""de"", ""en"")"),"NO SALARY DATA")</f>
        <v>NO SALARY DATA</v>
      </c>
      <c r="K614" s="7" t="s">
        <v>261</v>
      </c>
      <c r="L614" s="7" t="s">
        <v>286</v>
      </c>
      <c r="M614" s="7" t="s">
        <v>263</v>
      </c>
      <c r="N614" s="7" t="s">
        <v>260</v>
      </c>
      <c r="O614" s="7"/>
      <c r="P614" s="37"/>
      <c r="Q614" s="7"/>
    </row>
    <row r="615">
      <c r="A615" s="7">
        <v>610.0</v>
      </c>
      <c r="B615" s="7" t="s">
        <v>265</v>
      </c>
      <c r="C615" s="7" t="str">
        <f>IFERROR(__xludf.DUMMYFUNCTION("GOOGLETRANSLATE($B615, $A$2, $B$2)"),"More than 30 days ago")</f>
        <v>More than 30 days ago</v>
      </c>
      <c r="D615" s="7" t="s">
        <v>1368</v>
      </c>
      <c r="E615" s="7" t="s">
        <v>343</v>
      </c>
      <c r="F615" s="7" t="s">
        <v>1369</v>
      </c>
      <c r="G615" s="7" t="s">
        <v>260</v>
      </c>
      <c r="H615" s="7" t="s">
        <v>261</v>
      </c>
      <c r="I615" s="7" t="s">
        <v>261</v>
      </c>
      <c r="J615" s="7" t="str">
        <f>IFERROR(__xludf.DUMMYFUNCTION("GOOGLETRANSLATE($I615, ""de"", ""en"")"),"NO SALARY DATA")</f>
        <v>NO SALARY DATA</v>
      </c>
      <c r="K615" s="7" t="s">
        <v>261</v>
      </c>
      <c r="L615" s="7"/>
      <c r="M615" s="7" t="s">
        <v>263</v>
      </c>
      <c r="N615" s="7" t="s">
        <v>260</v>
      </c>
      <c r="O615" s="7"/>
      <c r="P615" s="35"/>
      <c r="Q615" s="7"/>
    </row>
    <row r="616">
      <c r="A616" s="7">
        <v>611.0</v>
      </c>
      <c r="B616" s="7" t="s">
        <v>265</v>
      </c>
      <c r="C616" s="7" t="str">
        <f>IFERROR(__xludf.DUMMYFUNCTION("GOOGLETRANSLATE($B616, $A$2, $B$2)"),"More than 30 days ago")</f>
        <v>More than 30 days ago</v>
      </c>
      <c r="D616" s="7" t="s">
        <v>1513</v>
      </c>
      <c r="E616" s="7" t="s">
        <v>405</v>
      </c>
      <c r="F616" s="7" t="s">
        <v>1514</v>
      </c>
      <c r="G616" s="7" t="s">
        <v>260</v>
      </c>
      <c r="H616" s="7" t="s">
        <v>261</v>
      </c>
      <c r="I616" s="7" t="s">
        <v>261</v>
      </c>
      <c r="J616" s="7" t="str">
        <f>IFERROR(__xludf.DUMMYFUNCTION("GOOGLETRANSLATE($I616, ""de"", ""en"")"),"NO SALARY DATA")</f>
        <v>NO SALARY DATA</v>
      </c>
      <c r="K616" s="7" t="s">
        <v>261</v>
      </c>
      <c r="L616" s="7" t="s">
        <v>852</v>
      </c>
      <c r="M616" s="7" t="s">
        <v>263</v>
      </c>
      <c r="N616" s="7" t="s">
        <v>532</v>
      </c>
      <c r="O616" s="7"/>
      <c r="P616" s="37"/>
      <c r="Q616" s="7"/>
    </row>
    <row r="617">
      <c r="A617" s="7">
        <v>612.0</v>
      </c>
      <c r="B617" s="7" t="s">
        <v>395</v>
      </c>
      <c r="C617" s="7" t="str">
        <f>IFERROR(__xludf.DUMMYFUNCTION("GOOGLETRANSLATE($B617, $A$2, $B$2)"),"21 days ago")</f>
        <v>21 days ago</v>
      </c>
      <c r="D617" s="7" t="s">
        <v>1515</v>
      </c>
      <c r="E617" s="7" t="s">
        <v>343</v>
      </c>
      <c r="F617" s="7" t="s">
        <v>869</v>
      </c>
      <c r="G617" s="7" t="s">
        <v>1516</v>
      </c>
      <c r="H617" s="7">
        <v>47000.0</v>
      </c>
      <c r="I617" s="7" t="s">
        <v>384</v>
      </c>
      <c r="J617" s="7" t="str">
        <f>IFERROR(__xludf.DUMMYFUNCTION("GOOGLETRANSLATE($I617, ""de"", ""en"")"),"year")</f>
        <v>year</v>
      </c>
      <c r="K617" s="7">
        <v>47000.0</v>
      </c>
      <c r="L617" s="7" t="s">
        <v>282</v>
      </c>
      <c r="M617" s="7" t="s">
        <v>263</v>
      </c>
      <c r="N617" s="7" t="s">
        <v>260</v>
      </c>
      <c r="O617" s="7"/>
      <c r="P617" s="37"/>
      <c r="Q617" s="7"/>
    </row>
    <row r="618">
      <c r="A618" s="7">
        <v>613.0</v>
      </c>
      <c r="B618" s="7" t="s">
        <v>395</v>
      </c>
      <c r="C618" s="7" t="str">
        <f>IFERROR(__xludf.DUMMYFUNCTION("GOOGLETRANSLATE($B618, $A$2, $B$2)"),"21 days ago")</f>
        <v>21 days ago</v>
      </c>
      <c r="D618" s="7" t="s">
        <v>1517</v>
      </c>
      <c r="E618" s="7" t="s">
        <v>258</v>
      </c>
      <c r="F618" s="7" t="s">
        <v>1518</v>
      </c>
      <c r="G618" s="7" t="s">
        <v>260</v>
      </c>
      <c r="H618" s="7" t="s">
        <v>261</v>
      </c>
      <c r="I618" s="7" t="s">
        <v>261</v>
      </c>
      <c r="J618" s="7" t="str">
        <f>IFERROR(__xludf.DUMMYFUNCTION("GOOGLETRANSLATE($I618, ""de"", ""en"")"),"NO SALARY DATA")</f>
        <v>NO SALARY DATA</v>
      </c>
      <c r="K618" s="7" t="s">
        <v>261</v>
      </c>
      <c r="L618" s="7" t="s">
        <v>1519</v>
      </c>
      <c r="M618" s="7" t="s">
        <v>263</v>
      </c>
      <c r="N618" s="7" t="s">
        <v>260</v>
      </c>
      <c r="O618" s="7"/>
      <c r="P618" s="35"/>
      <c r="Q618" s="7"/>
    </row>
    <row r="619">
      <c r="A619" s="7">
        <v>614.0</v>
      </c>
      <c r="B619" s="7" t="s">
        <v>265</v>
      </c>
      <c r="C619" s="7" t="str">
        <f>IFERROR(__xludf.DUMMYFUNCTION("GOOGLETRANSLATE($B619, $A$2, $B$2)"),"More than 30 days ago")</f>
        <v>More than 30 days ago</v>
      </c>
      <c r="D619" s="7" t="s">
        <v>1083</v>
      </c>
      <c r="E619" s="7" t="s">
        <v>1084</v>
      </c>
      <c r="F619" s="7" t="s">
        <v>607</v>
      </c>
      <c r="G619" s="7" t="s">
        <v>260</v>
      </c>
      <c r="H619" s="7" t="s">
        <v>261</v>
      </c>
      <c r="I619" s="7" t="s">
        <v>261</v>
      </c>
      <c r="J619" s="7" t="str">
        <f>IFERROR(__xludf.DUMMYFUNCTION("GOOGLETRANSLATE($I619, ""de"", ""en"")"),"NO SALARY DATA")</f>
        <v>NO SALARY DATA</v>
      </c>
      <c r="K619" s="7" t="s">
        <v>261</v>
      </c>
      <c r="L619" s="7" t="s">
        <v>389</v>
      </c>
      <c r="M619" s="7" t="s">
        <v>263</v>
      </c>
      <c r="N619" s="7" t="s">
        <v>399</v>
      </c>
      <c r="O619" s="7"/>
      <c r="P619" s="37"/>
      <c r="Q619" s="7"/>
    </row>
    <row r="620">
      <c r="A620" s="7">
        <v>615.0</v>
      </c>
      <c r="B620" s="7" t="s">
        <v>559</v>
      </c>
      <c r="C620" s="7" t="str">
        <f>IFERROR(__xludf.DUMMYFUNCTION("GOOGLETRANSLATE($B620, $A$2, $B$2)"),"18 days ago")</f>
        <v>18 days ago</v>
      </c>
      <c r="D620" s="7" t="s">
        <v>1520</v>
      </c>
      <c r="E620" s="7" t="s">
        <v>372</v>
      </c>
      <c r="F620" s="7" t="s">
        <v>1521</v>
      </c>
      <c r="G620" s="7" t="s">
        <v>260</v>
      </c>
      <c r="H620" s="7" t="s">
        <v>261</v>
      </c>
      <c r="I620" s="7" t="s">
        <v>261</v>
      </c>
      <c r="J620" s="7" t="str">
        <f>IFERROR(__xludf.DUMMYFUNCTION("GOOGLETRANSLATE($I620, ""de"", ""en"")"),"NO SALARY DATA")</f>
        <v>NO SALARY DATA</v>
      </c>
      <c r="K620" s="7" t="s">
        <v>261</v>
      </c>
      <c r="L620" s="7" t="s">
        <v>822</v>
      </c>
      <c r="M620" s="7" t="s">
        <v>263</v>
      </c>
      <c r="N620" s="7" t="s">
        <v>260</v>
      </c>
      <c r="O620" s="7"/>
      <c r="P620" s="37"/>
      <c r="Q620" s="7"/>
    </row>
    <row r="621">
      <c r="A621" s="7">
        <v>616.0</v>
      </c>
      <c r="B621" s="7" t="s">
        <v>341</v>
      </c>
      <c r="C621" s="7" t="str">
        <f>IFERROR(__xludf.DUMMYFUNCTION("GOOGLETRANSLATE($B621, $A$2, $B$2)"),"before 14 days")</f>
        <v>before 14 days</v>
      </c>
      <c r="D621" s="7" t="s">
        <v>306</v>
      </c>
      <c r="E621" s="7" t="s">
        <v>1522</v>
      </c>
      <c r="F621" s="7" t="s">
        <v>1523</v>
      </c>
      <c r="G621" s="7" t="s">
        <v>260</v>
      </c>
      <c r="H621" s="7" t="s">
        <v>261</v>
      </c>
      <c r="I621" s="7" t="s">
        <v>261</v>
      </c>
      <c r="J621" s="7" t="str">
        <f>IFERROR(__xludf.DUMMYFUNCTION("GOOGLETRANSLATE($I621, ""de"", ""en"")"),"NO SALARY DATA")</f>
        <v>NO SALARY DATA</v>
      </c>
      <c r="K621" s="7" t="s">
        <v>261</v>
      </c>
      <c r="L621" s="7" t="s">
        <v>643</v>
      </c>
      <c r="M621" s="7" t="s">
        <v>263</v>
      </c>
      <c r="N621" s="7" t="s">
        <v>260</v>
      </c>
      <c r="O621" s="7"/>
      <c r="P621" s="37"/>
      <c r="Q621" s="7"/>
    </row>
    <row r="622">
      <c r="A622" s="7">
        <v>617.0</v>
      </c>
      <c r="B622" s="7" t="s">
        <v>265</v>
      </c>
      <c r="C622" s="7" t="str">
        <f>IFERROR(__xludf.DUMMYFUNCTION("GOOGLETRANSLATE($B622, $A$2, $B$2)"),"More than 30 days ago")</f>
        <v>More than 30 days ago</v>
      </c>
      <c r="D622" s="7" t="s">
        <v>1524</v>
      </c>
      <c r="E622" s="7" t="s">
        <v>368</v>
      </c>
      <c r="F622" s="7" t="s">
        <v>1525</v>
      </c>
      <c r="G622" s="7" t="s">
        <v>260</v>
      </c>
      <c r="H622" s="7" t="s">
        <v>261</v>
      </c>
      <c r="I622" s="7" t="s">
        <v>261</v>
      </c>
      <c r="J622" s="7" t="str">
        <f>IFERROR(__xludf.DUMMYFUNCTION("GOOGLETRANSLATE($I622, ""de"", ""en"")"),"NO SALARY DATA")</f>
        <v>NO SALARY DATA</v>
      </c>
      <c r="K622" s="7" t="s">
        <v>261</v>
      </c>
      <c r="L622" s="7" t="s">
        <v>345</v>
      </c>
      <c r="M622" s="7" t="s">
        <v>263</v>
      </c>
      <c r="N622" s="7" t="s">
        <v>260</v>
      </c>
      <c r="O622" s="7"/>
      <c r="P622" s="35"/>
      <c r="Q622" s="7"/>
    </row>
    <row r="623">
      <c r="A623" s="7">
        <v>618.0</v>
      </c>
      <c r="B623" s="7" t="s">
        <v>265</v>
      </c>
      <c r="C623" s="7" t="str">
        <f>IFERROR(__xludf.DUMMYFUNCTION("GOOGLETRANSLATE($B623, $A$2, $B$2)"),"More than 30 days ago")</f>
        <v>More than 30 days ago</v>
      </c>
      <c r="D623" s="7" t="s">
        <v>1526</v>
      </c>
      <c r="E623" s="7" t="s">
        <v>1260</v>
      </c>
      <c r="F623" s="7" t="s">
        <v>1527</v>
      </c>
      <c r="G623" s="7" t="s">
        <v>260</v>
      </c>
      <c r="H623" s="7" t="s">
        <v>261</v>
      </c>
      <c r="I623" s="7" t="s">
        <v>261</v>
      </c>
      <c r="J623" s="7" t="str">
        <f>IFERROR(__xludf.DUMMYFUNCTION("GOOGLETRANSLATE($I623, ""de"", ""en"")"),"NO SALARY DATA")</f>
        <v>NO SALARY DATA</v>
      </c>
      <c r="K623" s="7" t="s">
        <v>261</v>
      </c>
      <c r="L623" s="7" t="s">
        <v>423</v>
      </c>
      <c r="M623" s="7" t="s">
        <v>263</v>
      </c>
      <c r="N623" s="7" t="s">
        <v>704</v>
      </c>
      <c r="O623" s="7"/>
      <c r="P623" s="37"/>
      <c r="Q623" s="7"/>
    </row>
    <row r="624">
      <c r="A624" s="7">
        <v>619.0</v>
      </c>
      <c r="B624" s="7" t="s">
        <v>265</v>
      </c>
      <c r="C624" s="7" t="str">
        <f>IFERROR(__xludf.DUMMYFUNCTION("GOOGLETRANSLATE($B624, $A$2, $B$2)"),"More than 30 days ago")</f>
        <v>More than 30 days ago</v>
      </c>
      <c r="D624" s="7" t="s">
        <v>1387</v>
      </c>
      <c r="E624" s="7" t="s">
        <v>1388</v>
      </c>
      <c r="F624" s="7" t="s">
        <v>1528</v>
      </c>
      <c r="G624" s="7" t="s">
        <v>260</v>
      </c>
      <c r="H624" s="7" t="s">
        <v>261</v>
      </c>
      <c r="I624" s="7" t="s">
        <v>261</v>
      </c>
      <c r="J624" s="7" t="str">
        <f>IFERROR(__xludf.DUMMYFUNCTION("GOOGLETRANSLATE($I624, ""de"", ""en"")"),"NO SALARY DATA")</f>
        <v>NO SALARY DATA</v>
      </c>
      <c r="K624" s="7" t="s">
        <v>261</v>
      </c>
      <c r="L624" s="7" t="s">
        <v>649</v>
      </c>
      <c r="M624" s="7" t="s">
        <v>263</v>
      </c>
      <c r="N624" s="7" t="s">
        <v>260</v>
      </c>
      <c r="O624" s="7"/>
      <c r="P624" s="35"/>
      <c r="Q624" s="7"/>
    </row>
    <row r="625">
      <c r="A625" s="7">
        <v>620.0</v>
      </c>
      <c r="B625" s="7" t="s">
        <v>265</v>
      </c>
      <c r="C625" s="7" t="str">
        <f>IFERROR(__xludf.DUMMYFUNCTION("GOOGLETRANSLATE($B625, $A$2, $B$2)"),"More than 30 days ago")</f>
        <v>More than 30 days ago</v>
      </c>
      <c r="D625" s="7" t="s">
        <v>1529</v>
      </c>
      <c r="E625" s="7" t="s">
        <v>804</v>
      </c>
      <c r="F625" s="7" t="s">
        <v>1530</v>
      </c>
      <c r="G625" s="7" t="s">
        <v>260</v>
      </c>
      <c r="H625" s="7" t="s">
        <v>261</v>
      </c>
      <c r="I625" s="7" t="s">
        <v>261</v>
      </c>
      <c r="J625" s="7" t="str">
        <f>IFERROR(__xludf.DUMMYFUNCTION("GOOGLETRANSLATE($I625, ""de"", ""en"")"),"NO SALARY DATA")</f>
        <v>NO SALARY DATA</v>
      </c>
      <c r="K625" s="7" t="s">
        <v>261</v>
      </c>
      <c r="L625" s="7" t="s">
        <v>312</v>
      </c>
      <c r="M625" s="7" t="s">
        <v>452</v>
      </c>
      <c r="N625" s="7" t="s">
        <v>296</v>
      </c>
      <c r="O625" s="7"/>
      <c r="P625" s="37"/>
      <c r="Q625" s="7"/>
    </row>
    <row r="626">
      <c r="A626" s="7">
        <v>621.0</v>
      </c>
      <c r="B626" s="7" t="s">
        <v>1271</v>
      </c>
      <c r="C626" s="7" t="str">
        <f>IFERROR(__xludf.DUMMYFUNCTION("GOOGLETRANSLATE($B626, $A$2, $B$2)"),"27 days ago")</f>
        <v>27 days ago</v>
      </c>
      <c r="D626" s="7" t="s">
        <v>1531</v>
      </c>
      <c r="E626" s="7" t="s">
        <v>405</v>
      </c>
      <c r="F626" s="7" t="s">
        <v>1532</v>
      </c>
      <c r="G626" s="7" t="s">
        <v>260</v>
      </c>
      <c r="H626" s="7" t="s">
        <v>261</v>
      </c>
      <c r="I626" s="7" t="s">
        <v>261</v>
      </c>
      <c r="J626" s="7" t="str">
        <f>IFERROR(__xludf.DUMMYFUNCTION("GOOGLETRANSLATE($I626, ""de"", ""en"")"),"NO SALARY DATA")</f>
        <v>NO SALARY DATA</v>
      </c>
      <c r="K626" s="7" t="s">
        <v>261</v>
      </c>
      <c r="L626" s="7" t="s">
        <v>1533</v>
      </c>
      <c r="M626" s="7" t="s">
        <v>263</v>
      </c>
      <c r="N626" s="7" t="s">
        <v>260</v>
      </c>
      <c r="O626" s="7"/>
      <c r="P626" s="37"/>
      <c r="Q626" s="7"/>
    </row>
    <row r="627">
      <c r="A627" s="7">
        <v>622.0</v>
      </c>
      <c r="B627" s="7" t="s">
        <v>265</v>
      </c>
      <c r="C627" s="7" t="str">
        <f>IFERROR(__xludf.DUMMYFUNCTION("GOOGLETRANSLATE($B627, $A$2, $B$2)"),"More than 30 days ago")</f>
        <v>More than 30 days ago</v>
      </c>
      <c r="D627" s="7" t="s">
        <v>306</v>
      </c>
      <c r="E627" s="7" t="s">
        <v>1534</v>
      </c>
      <c r="F627" s="7" t="s">
        <v>1535</v>
      </c>
      <c r="G627" s="7" t="s">
        <v>260</v>
      </c>
      <c r="H627" s="7" t="s">
        <v>261</v>
      </c>
      <c r="I627" s="7" t="s">
        <v>261</v>
      </c>
      <c r="J627" s="7" t="str">
        <f>IFERROR(__xludf.DUMMYFUNCTION("GOOGLETRANSLATE($I627, ""de"", ""en"")"),"NO SALARY DATA")</f>
        <v>NO SALARY DATA</v>
      </c>
      <c r="K627" s="7" t="s">
        <v>261</v>
      </c>
      <c r="L627" s="7" t="s">
        <v>838</v>
      </c>
      <c r="M627" s="7" t="s">
        <v>263</v>
      </c>
      <c r="N627" s="7" t="s">
        <v>260</v>
      </c>
      <c r="O627" s="7"/>
      <c r="P627" s="37"/>
      <c r="Q627" s="7"/>
    </row>
    <row r="628">
      <c r="A628" s="7">
        <v>623.0</v>
      </c>
      <c r="B628" s="7" t="s">
        <v>375</v>
      </c>
      <c r="C628" s="7" t="str">
        <f>IFERROR(__xludf.DUMMYFUNCTION("GOOGLETRANSLATE($B628, $A$2, $B$2)"),"6 days ago")</f>
        <v>6 days ago</v>
      </c>
      <c r="D628" s="7" t="s">
        <v>1536</v>
      </c>
      <c r="E628" s="7" t="s">
        <v>1537</v>
      </c>
      <c r="F628" s="7" t="s">
        <v>1538</v>
      </c>
      <c r="G628" s="7" t="s">
        <v>260</v>
      </c>
      <c r="H628" s="7" t="s">
        <v>261</v>
      </c>
      <c r="I628" s="7" t="s">
        <v>261</v>
      </c>
      <c r="J628" s="7" t="str">
        <f>IFERROR(__xludf.DUMMYFUNCTION("GOOGLETRANSLATE($I628, ""de"", ""en"")"),"NO SALARY DATA")</f>
        <v>NO SALARY DATA</v>
      </c>
      <c r="K628" s="7" t="s">
        <v>261</v>
      </c>
      <c r="L628" s="7" t="s">
        <v>286</v>
      </c>
      <c r="M628" s="7" t="s">
        <v>263</v>
      </c>
      <c r="N628" s="7" t="s">
        <v>260</v>
      </c>
      <c r="O628" s="7"/>
      <c r="P628" s="37"/>
      <c r="Q628" s="7"/>
    </row>
    <row r="629">
      <c r="A629" s="7">
        <v>624.0</v>
      </c>
      <c r="B629" s="7" t="s">
        <v>341</v>
      </c>
      <c r="C629" s="7" t="str">
        <f>IFERROR(__xludf.DUMMYFUNCTION("GOOGLETRANSLATE($B629, $A$2, $B$2)"),"before 14 days")</f>
        <v>before 14 days</v>
      </c>
      <c r="D629" s="7" t="s">
        <v>306</v>
      </c>
      <c r="E629" s="7" t="s">
        <v>1522</v>
      </c>
      <c r="F629" s="7" t="s">
        <v>1539</v>
      </c>
      <c r="G629" s="7" t="s">
        <v>260</v>
      </c>
      <c r="H629" s="7" t="s">
        <v>261</v>
      </c>
      <c r="I629" s="7" t="s">
        <v>261</v>
      </c>
      <c r="J629" s="7" t="str">
        <f>IFERROR(__xludf.DUMMYFUNCTION("GOOGLETRANSLATE($I629, ""de"", ""en"")"),"NO SALARY DATA")</f>
        <v>NO SALARY DATA</v>
      </c>
      <c r="K629" s="7" t="s">
        <v>261</v>
      </c>
      <c r="L629" s="7" t="s">
        <v>643</v>
      </c>
      <c r="M629" s="7" t="s">
        <v>263</v>
      </c>
      <c r="N629" s="7" t="s">
        <v>260</v>
      </c>
      <c r="O629" s="7"/>
      <c r="P629" s="37"/>
      <c r="Q629" s="7"/>
    </row>
    <row r="630">
      <c r="A630" s="7">
        <v>625.0</v>
      </c>
      <c r="B630" s="7" t="s">
        <v>650</v>
      </c>
      <c r="C630" s="7" t="str">
        <f>IFERROR(__xludf.DUMMYFUNCTION("GOOGLETRANSLATE($B630, $A$2, $B$2)"),"16 days ago")</f>
        <v>16 days ago</v>
      </c>
      <c r="D630" s="7" t="s">
        <v>351</v>
      </c>
      <c r="E630" s="7" t="s">
        <v>858</v>
      </c>
      <c r="F630" s="7" t="s">
        <v>718</v>
      </c>
      <c r="G630" s="7" t="s">
        <v>260</v>
      </c>
      <c r="H630" s="7" t="s">
        <v>261</v>
      </c>
      <c r="I630" s="7" t="s">
        <v>261</v>
      </c>
      <c r="J630" s="7" t="str">
        <f>IFERROR(__xludf.DUMMYFUNCTION("GOOGLETRANSLATE($I630, ""de"", ""en"")"),"NO SALARY DATA")</f>
        <v>NO SALARY DATA</v>
      </c>
      <c r="K630" s="7" t="s">
        <v>261</v>
      </c>
      <c r="L630" s="7" t="s">
        <v>566</v>
      </c>
      <c r="M630" s="7" t="s">
        <v>263</v>
      </c>
      <c r="N630" s="7" t="s">
        <v>260</v>
      </c>
      <c r="O630" s="7"/>
      <c r="P630" s="37"/>
      <c r="Q630" s="7"/>
    </row>
    <row r="631">
      <c r="A631" s="7">
        <v>626.0</v>
      </c>
      <c r="B631" s="7" t="s">
        <v>442</v>
      </c>
      <c r="C631" s="7" t="str">
        <f>IFERROR(__xludf.DUMMYFUNCTION("GOOGLETRANSLATE($B631, $A$2, $B$2)"),"26 days ago")</f>
        <v>26 days ago</v>
      </c>
      <c r="D631" s="7" t="s">
        <v>685</v>
      </c>
      <c r="E631" s="7" t="s">
        <v>401</v>
      </c>
      <c r="F631" s="7" t="s">
        <v>740</v>
      </c>
      <c r="G631" s="7" t="s">
        <v>260</v>
      </c>
      <c r="H631" s="7" t="s">
        <v>261</v>
      </c>
      <c r="I631" s="7" t="s">
        <v>261</v>
      </c>
      <c r="J631" s="7" t="str">
        <f>IFERROR(__xludf.DUMMYFUNCTION("GOOGLETRANSLATE($I631, ""de"", ""en"")"),"NO SALARY DATA")</f>
        <v>NO SALARY DATA</v>
      </c>
      <c r="K631" s="7" t="s">
        <v>261</v>
      </c>
      <c r="L631" s="7" t="s">
        <v>777</v>
      </c>
      <c r="M631" s="7" t="s">
        <v>263</v>
      </c>
      <c r="N631" s="7" t="s">
        <v>260</v>
      </c>
      <c r="O631" s="7"/>
      <c r="P631" s="37"/>
      <c r="Q631" s="7"/>
    </row>
    <row r="632">
      <c r="A632" s="7">
        <v>627.0</v>
      </c>
      <c r="B632" s="7" t="s">
        <v>256</v>
      </c>
      <c r="C632" s="7" t="str">
        <f>IFERROR(__xludf.DUMMYFUNCTION("GOOGLETRANSLATE($B632, $A$2, $B$2)"),"7 days ago")</f>
        <v>7 days ago</v>
      </c>
      <c r="D632" s="7" t="s">
        <v>1540</v>
      </c>
      <c r="E632" s="7" t="s">
        <v>368</v>
      </c>
      <c r="F632" s="7" t="s">
        <v>1541</v>
      </c>
      <c r="G632" s="7" t="s">
        <v>260</v>
      </c>
      <c r="H632" s="7" t="s">
        <v>261</v>
      </c>
      <c r="I632" s="7" t="s">
        <v>261</v>
      </c>
      <c r="J632" s="7" t="str">
        <f>IFERROR(__xludf.DUMMYFUNCTION("GOOGLETRANSLATE($I632, ""de"", ""en"")"),"NO SALARY DATA")</f>
        <v>NO SALARY DATA</v>
      </c>
      <c r="K632" s="7" t="s">
        <v>261</v>
      </c>
      <c r="L632" s="7" t="s">
        <v>425</v>
      </c>
      <c r="M632" s="7" t="s">
        <v>263</v>
      </c>
      <c r="N632" s="7" t="s">
        <v>260</v>
      </c>
      <c r="O632" s="7"/>
      <c r="P632" s="37"/>
      <c r="Q632" s="7"/>
    </row>
    <row r="633">
      <c r="A633" s="7">
        <v>628.0</v>
      </c>
      <c r="B633" s="7" t="s">
        <v>265</v>
      </c>
      <c r="C633" s="7" t="str">
        <f>IFERROR(__xludf.DUMMYFUNCTION("GOOGLETRANSLATE($B633, $A$2, $B$2)"),"More than 30 days ago")</f>
        <v>More than 30 days ago</v>
      </c>
      <c r="D633" s="7" t="s">
        <v>1542</v>
      </c>
      <c r="E633" s="7" t="s">
        <v>258</v>
      </c>
      <c r="F633" s="7" t="s">
        <v>1543</v>
      </c>
      <c r="G633" s="7" t="s">
        <v>260</v>
      </c>
      <c r="H633" s="7" t="s">
        <v>261</v>
      </c>
      <c r="I633" s="7" t="s">
        <v>261</v>
      </c>
      <c r="J633" s="7" t="str">
        <f>IFERROR(__xludf.DUMMYFUNCTION("GOOGLETRANSLATE($I633, ""de"", ""en"")"),"NO SALARY DATA")</f>
        <v>NO SALARY DATA</v>
      </c>
      <c r="K633" s="7" t="s">
        <v>261</v>
      </c>
      <c r="L633" s="7" t="s">
        <v>666</v>
      </c>
      <c r="M633" s="7" t="s">
        <v>263</v>
      </c>
      <c r="N633" s="7" t="s">
        <v>260</v>
      </c>
      <c r="O633" s="7"/>
      <c r="P633" s="37"/>
      <c r="Q633" s="7"/>
    </row>
    <row r="634">
      <c r="A634" s="7">
        <v>629.0</v>
      </c>
      <c r="B634" s="7" t="s">
        <v>265</v>
      </c>
      <c r="C634" s="7" t="str">
        <f>IFERROR(__xludf.DUMMYFUNCTION("GOOGLETRANSLATE($B634, $A$2, $B$2)"),"More than 30 days ago")</f>
        <v>More than 30 days ago</v>
      </c>
      <c r="D634" s="7" t="s">
        <v>1544</v>
      </c>
      <c r="E634" s="7" t="s">
        <v>343</v>
      </c>
      <c r="F634" s="7" t="s">
        <v>1545</v>
      </c>
      <c r="G634" s="7" t="s">
        <v>260</v>
      </c>
      <c r="H634" s="7" t="s">
        <v>261</v>
      </c>
      <c r="I634" s="7" t="s">
        <v>261</v>
      </c>
      <c r="J634" s="7" t="str">
        <f>IFERROR(__xludf.DUMMYFUNCTION("GOOGLETRANSLATE($I634, ""de"", ""en"")"),"NO SALARY DATA")</f>
        <v>NO SALARY DATA</v>
      </c>
      <c r="K634" s="7" t="s">
        <v>261</v>
      </c>
      <c r="L634" s="7" t="s">
        <v>490</v>
      </c>
      <c r="M634" s="7" t="s">
        <v>263</v>
      </c>
      <c r="N634" s="7" t="s">
        <v>260</v>
      </c>
      <c r="O634" s="7"/>
      <c r="P634" s="35"/>
      <c r="Q634" s="7"/>
    </row>
    <row r="635">
      <c r="A635" s="7">
        <v>630.0</v>
      </c>
      <c r="B635" s="7" t="s">
        <v>379</v>
      </c>
      <c r="C635" s="7" t="str">
        <f>IFERROR(__xludf.DUMMYFUNCTION("GOOGLETRANSLATE($B635, $A$2, $B$2)"),"13 days ago")</f>
        <v>13 days ago</v>
      </c>
      <c r="D635" s="7" t="s">
        <v>1546</v>
      </c>
      <c r="E635" s="7" t="s">
        <v>280</v>
      </c>
      <c r="F635" s="7" t="s">
        <v>329</v>
      </c>
      <c r="G635" s="7" t="s">
        <v>260</v>
      </c>
      <c r="H635" s="7" t="s">
        <v>261</v>
      </c>
      <c r="I635" s="7" t="s">
        <v>261</v>
      </c>
      <c r="J635" s="7" t="str">
        <f>IFERROR(__xludf.DUMMYFUNCTION("GOOGLETRANSLATE($I635, ""de"", ""en"")"),"NO SALARY DATA")</f>
        <v>NO SALARY DATA</v>
      </c>
      <c r="K635" s="7" t="s">
        <v>261</v>
      </c>
      <c r="L635" s="7"/>
      <c r="M635" s="7" t="s">
        <v>263</v>
      </c>
      <c r="N635" s="7" t="s">
        <v>331</v>
      </c>
      <c r="O635" s="7"/>
      <c r="P635" s="35"/>
      <c r="Q635" s="7"/>
    </row>
    <row r="636">
      <c r="A636" s="7">
        <v>631.0</v>
      </c>
      <c r="B636" s="7" t="s">
        <v>324</v>
      </c>
      <c r="C636" s="7" t="str">
        <f>IFERROR(__xludf.DUMMYFUNCTION("GOOGLETRANSLATE($B636, $A$2, $B$2)"),"3 days ago")</f>
        <v>3 days ago</v>
      </c>
      <c r="D636" s="7" t="s">
        <v>1547</v>
      </c>
      <c r="E636" s="7" t="s">
        <v>258</v>
      </c>
      <c r="F636" s="7" t="s">
        <v>821</v>
      </c>
      <c r="G636" s="7" t="s">
        <v>260</v>
      </c>
      <c r="H636" s="7" t="s">
        <v>261</v>
      </c>
      <c r="I636" s="7" t="s">
        <v>261</v>
      </c>
      <c r="J636" s="7" t="str">
        <f>IFERROR(__xludf.DUMMYFUNCTION("GOOGLETRANSLATE($I636, ""de"", ""en"")"),"NO SALARY DATA")</f>
        <v>NO SALARY DATA</v>
      </c>
      <c r="K636" s="7" t="s">
        <v>261</v>
      </c>
      <c r="L636" s="7" t="s">
        <v>988</v>
      </c>
      <c r="M636" s="7" t="s">
        <v>263</v>
      </c>
      <c r="N636" s="7" t="s">
        <v>301</v>
      </c>
      <c r="O636" s="7"/>
      <c r="P636" s="37"/>
      <c r="Q636" s="7"/>
    </row>
    <row r="637">
      <c r="A637" s="7">
        <v>632.0</v>
      </c>
      <c r="B637" s="7" t="s">
        <v>302</v>
      </c>
      <c r="C637" s="7" t="str">
        <f>IFERROR(__xludf.DUMMYFUNCTION("GOOGLETRANSLATE($B637, $A$2, $B$2)"),"today")</f>
        <v>today</v>
      </c>
      <c r="D637" s="7" t="s">
        <v>1548</v>
      </c>
      <c r="E637" s="7" t="s">
        <v>258</v>
      </c>
      <c r="F637" s="7" t="s">
        <v>1549</v>
      </c>
      <c r="G637" s="7" t="s">
        <v>260</v>
      </c>
      <c r="H637" s="7" t="s">
        <v>261</v>
      </c>
      <c r="I637" s="7" t="s">
        <v>261</v>
      </c>
      <c r="J637" s="7" t="str">
        <f>IFERROR(__xludf.DUMMYFUNCTION("GOOGLETRANSLATE($I637, ""de"", ""en"")"),"NO SALARY DATA")</f>
        <v>NO SALARY DATA</v>
      </c>
      <c r="K637" s="7" t="s">
        <v>261</v>
      </c>
      <c r="L637" s="7" t="s">
        <v>398</v>
      </c>
      <c r="M637" s="7" t="s">
        <v>263</v>
      </c>
      <c r="N637" s="7" t="s">
        <v>260</v>
      </c>
      <c r="O637" s="7"/>
      <c r="P637" s="35"/>
      <c r="Q637" s="7"/>
    </row>
    <row r="638">
      <c r="A638" s="7">
        <v>633.0</v>
      </c>
      <c r="B638" s="7" t="s">
        <v>302</v>
      </c>
      <c r="C638" s="7" t="str">
        <f>IFERROR(__xludf.DUMMYFUNCTION("GOOGLETRANSLATE($B638, $A$2, $B$2)"),"today")</f>
        <v>today</v>
      </c>
      <c r="D638" s="7" t="s">
        <v>1282</v>
      </c>
      <c r="E638" s="7" t="s">
        <v>271</v>
      </c>
      <c r="F638" s="7" t="s">
        <v>1550</v>
      </c>
      <c r="G638" s="7" t="s">
        <v>260</v>
      </c>
      <c r="H638" s="7" t="s">
        <v>261</v>
      </c>
      <c r="I638" s="7" t="s">
        <v>261</v>
      </c>
      <c r="J638" s="7" t="str">
        <f>IFERROR(__xludf.DUMMYFUNCTION("GOOGLETRANSLATE($I638, ""de"", ""en"")"),"NO SALARY DATA")</f>
        <v>NO SALARY DATA</v>
      </c>
      <c r="K638" s="7" t="s">
        <v>261</v>
      </c>
      <c r="L638" s="7" t="s">
        <v>282</v>
      </c>
      <c r="M638" s="7" t="s">
        <v>263</v>
      </c>
      <c r="N638" s="7" t="s">
        <v>434</v>
      </c>
      <c r="O638" s="7"/>
      <c r="P638" s="35"/>
      <c r="Q638" s="7"/>
    </row>
    <row r="639">
      <c r="A639" s="7">
        <v>634.0</v>
      </c>
      <c r="B639" s="7" t="s">
        <v>892</v>
      </c>
      <c r="C639" s="7" t="str">
        <f>IFERROR(__xludf.DUMMYFUNCTION("GOOGLETRANSLATE($B639, $A$2, $B$2)"),"25 days ago")</f>
        <v>25 days ago</v>
      </c>
      <c r="D639" s="7" t="s">
        <v>893</v>
      </c>
      <c r="E639" s="7" t="s">
        <v>417</v>
      </c>
      <c r="F639" s="7" t="s">
        <v>894</v>
      </c>
      <c r="G639" s="7" t="s">
        <v>260</v>
      </c>
      <c r="H639" s="7" t="s">
        <v>261</v>
      </c>
      <c r="I639" s="7" t="s">
        <v>261</v>
      </c>
      <c r="J639" s="7" t="str">
        <f>IFERROR(__xludf.DUMMYFUNCTION("GOOGLETRANSLATE($I639, ""de"", ""en"")"),"NO SALARY DATA")</f>
        <v>NO SALARY DATA</v>
      </c>
      <c r="K639" s="7" t="s">
        <v>261</v>
      </c>
      <c r="L639" s="7" t="s">
        <v>312</v>
      </c>
      <c r="M639" s="7" t="s">
        <v>263</v>
      </c>
      <c r="N639" s="7" t="s">
        <v>725</v>
      </c>
      <c r="O639" s="7"/>
      <c r="P639" s="37"/>
      <c r="Q639" s="7"/>
    </row>
    <row r="640">
      <c r="A640" s="7">
        <v>635.0</v>
      </c>
      <c r="B640" s="7" t="s">
        <v>621</v>
      </c>
      <c r="C640" s="7" t="str">
        <f>IFERROR(__xludf.DUMMYFUNCTION("GOOGLETRANSLATE($B640, $A$2, $B$2)"),"20 days ago")</f>
        <v>20 days ago</v>
      </c>
      <c r="D640" s="7" t="s">
        <v>1551</v>
      </c>
      <c r="E640" s="7" t="s">
        <v>271</v>
      </c>
      <c r="F640" s="7" t="s">
        <v>1008</v>
      </c>
      <c r="G640" s="7" t="s">
        <v>260</v>
      </c>
      <c r="H640" s="7" t="s">
        <v>261</v>
      </c>
      <c r="I640" s="7" t="s">
        <v>261</v>
      </c>
      <c r="J640" s="7" t="str">
        <f>IFERROR(__xludf.DUMMYFUNCTION("GOOGLETRANSLATE($I640, ""de"", ""en"")"),"NO SALARY DATA")</f>
        <v>NO SALARY DATA</v>
      </c>
      <c r="K640" s="7" t="s">
        <v>261</v>
      </c>
      <c r="L640" s="7" t="s">
        <v>1270</v>
      </c>
      <c r="M640" s="7" t="s">
        <v>673</v>
      </c>
      <c r="N640" s="7" t="s">
        <v>260</v>
      </c>
      <c r="O640" s="7"/>
      <c r="P640" s="35"/>
      <c r="Q640" s="7"/>
    </row>
    <row r="641">
      <c r="A641" s="7">
        <v>636.0</v>
      </c>
      <c r="B641" s="7" t="s">
        <v>375</v>
      </c>
      <c r="C641" s="7" t="str">
        <f>IFERROR(__xludf.DUMMYFUNCTION("GOOGLETRANSLATE($B641, $A$2, $B$2)"),"6 days ago")</f>
        <v>6 days ago</v>
      </c>
      <c r="D641" s="7" t="s">
        <v>1552</v>
      </c>
      <c r="E641" s="7" t="s">
        <v>548</v>
      </c>
      <c r="F641" s="7" t="s">
        <v>1553</v>
      </c>
      <c r="G641" s="7" t="s">
        <v>260</v>
      </c>
      <c r="H641" s="7" t="s">
        <v>261</v>
      </c>
      <c r="I641" s="7" t="s">
        <v>261</v>
      </c>
      <c r="J641" s="7" t="str">
        <f>IFERROR(__xludf.DUMMYFUNCTION("GOOGLETRANSLATE($I641, ""de"", ""en"")"),"NO SALARY DATA")</f>
        <v>NO SALARY DATA</v>
      </c>
      <c r="K641" s="7" t="s">
        <v>261</v>
      </c>
      <c r="L641" s="7" t="s">
        <v>273</v>
      </c>
      <c r="M641" s="7" t="s">
        <v>263</v>
      </c>
      <c r="N641" s="7" t="s">
        <v>434</v>
      </c>
      <c r="O641" s="7"/>
      <c r="P641" s="37"/>
      <c r="Q641" s="7"/>
    </row>
    <row r="642">
      <c r="A642" s="7">
        <v>637.0</v>
      </c>
      <c r="B642" s="7" t="s">
        <v>1271</v>
      </c>
      <c r="C642" s="7" t="str">
        <f>IFERROR(__xludf.DUMMYFUNCTION("GOOGLETRANSLATE($B642, $A$2, $B$2)"),"27 days ago")</f>
        <v>27 days ago</v>
      </c>
      <c r="D642" s="7" t="s">
        <v>1531</v>
      </c>
      <c r="E642" s="7" t="s">
        <v>405</v>
      </c>
      <c r="F642" s="7" t="s">
        <v>1532</v>
      </c>
      <c r="G642" s="7" t="s">
        <v>260</v>
      </c>
      <c r="H642" s="7" t="s">
        <v>261</v>
      </c>
      <c r="I642" s="7" t="s">
        <v>261</v>
      </c>
      <c r="J642" s="7" t="str">
        <f>IFERROR(__xludf.DUMMYFUNCTION("GOOGLETRANSLATE($I642, ""de"", ""en"")"),"NO SALARY DATA")</f>
        <v>NO SALARY DATA</v>
      </c>
      <c r="K642" s="7" t="s">
        <v>261</v>
      </c>
      <c r="L642" s="7" t="s">
        <v>1533</v>
      </c>
      <c r="M642" s="7" t="s">
        <v>263</v>
      </c>
      <c r="N642" s="7" t="s">
        <v>260</v>
      </c>
      <c r="O642" s="7"/>
      <c r="P642" s="37"/>
      <c r="Q642" s="7"/>
    </row>
    <row r="643">
      <c r="A643" s="7">
        <v>638.0</v>
      </c>
      <c r="B643" s="7" t="s">
        <v>621</v>
      </c>
      <c r="C643" s="7" t="str">
        <f>IFERROR(__xludf.DUMMYFUNCTION("GOOGLETRANSLATE($B643, $A$2, $B$2)"),"20 days ago")</f>
        <v>20 days ago</v>
      </c>
      <c r="D643" s="7" t="s">
        <v>1554</v>
      </c>
      <c r="E643" s="7" t="s">
        <v>348</v>
      </c>
      <c r="F643" s="7" t="s">
        <v>1555</v>
      </c>
      <c r="G643" s="7" t="s">
        <v>260</v>
      </c>
      <c r="H643" s="7" t="s">
        <v>261</v>
      </c>
      <c r="I643" s="7" t="s">
        <v>261</v>
      </c>
      <c r="J643" s="7" t="str">
        <f>IFERROR(__xludf.DUMMYFUNCTION("GOOGLETRANSLATE($I643, ""de"", ""en"")"),"NO SALARY DATA")</f>
        <v>NO SALARY DATA</v>
      </c>
      <c r="K643" s="7" t="s">
        <v>261</v>
      </c>
      <c r="L643" s="7" t="s">
        <v>1037</v>
      </c>
      <c r="M643" s="7" t="s">
        <v>263</v>
      </c>
      <c r="N643" s="7" t="s">
        <v>260</v>
      </c>
      <c r="O643" s="7"/>
      <c r="P643" s="35"/>
      <c r="Q643" s="7"/>
    </row>
    <row r="644">
      <c r="A644" s="7">
        <v>639.0</v>
      </c>
      <c r="B644" s="7" t="s">
        <v>265</v>
      </c>
      <c r="C644" s="7" t="str">
        <f>IFERROR(__xludf.DUMMYFUNCTION("GOOGLETRANSLATE($B644, $A$2, $B$2)"),"More than 30 days ago")</f>
        <v>More than 30 days ago</v>
      </c>
      <c r="D644" s="7" t="s">
        <v>903</v>
      </c>
      <c r="E644" s="7" t="s">
        <v>271</v>
      </c>
      <c r="F644" s="7" t="s">
        <v>478</v>
      </c>
      <c r="G644" s="7" t="s">
        <v>260</v>
      </c>
      <c r="H644" s="7" t="s">
        <v>261</v>
      </c>
      <c r="I644" s="7" t="s">
        <v>261</v>
      </c>
      <c r="J644" s="7" t="str">
        <f>IFERROR(__xludf.DUMMYFUNCTION("GOOGLETRANSLATE($I644, ""de"", ""en"")"),"NO SALARY DATA")</f>
        <v>NO SALARY DATA</v>
      </c>
      <c r="K644" s="7" t="s">
        <v>261</v>
      </c>
      <c r="L644" s="7" t="s">
        <v>423</v>
      </c>
      <c r="M644" s="7" t="s">
        <v>263</v>
      </c>
      <c r="N644" s="7" t="s">
        <v>336</v>
      </c>
      <c r="O644" s="7"/>
      <c r="P644" s="37"/>
      <c r="Q644" s="7"/>
    </row>
    <row r="645">
      <c r="A645" s="7">
        <v>640.0</v>
      </c>
      <c r="B645" s="7" t="s">
        <v>892</v>
      </c>
      <c r="C645" s="7" t="str">
        <f>IFERROR(__xludf.DUMMYFUNCTION("GOOGLETRANSLATE($B645, $A$2, $B$2)"),"25 days ago")</f>
        <v>25 days ago</v>
      </c>
      <c r="D645" s="7" t="s">
        <v>1556</v>
      </c>
      <c r="E645" s="7" t="s">
        <v>583</v>
      </c>
      <c r="F645" s="7" t="s">
        <v>1557</v>
      </c>
      <c r="G645" s="7" t="s">
        <v>260</v>
      </c>
      <c r="H645" s="7" t="s">
        <v>261</v>
      </c>
      <c r="I645" s="7" t="s">
        <v>261</v>
      </c>
      <c r="J645" s="7" t="str">
        <f>IFERROR(__xludf.DUMMYFUNCTION("GOOGLETRANSLATE($I645, ""de"", ""en"")"),"NO SALARY DATA")</f>
        <v>NO SALARY DATA</v>
      </c>
      <c r="K645" s="7" t="s">
        <v>261</v>
      </c>
      <c r="L645" s="7" t="s">
        <v>423</v>
      </c>
      <c r="M645" s="7" t="s">
        <v>263</v>
      </c>
      <c r="N645" s="7" t="s">
        <v>260</v>
      </c>
      <c r="O645" s="7"/>
      <c r="P645" s="37"/>
      <c r="Q645" s="7"/>
    </row>
    <row r="646">
      <c r="A646" s="7">
        <v>641.0</v>
      </c>
      <c r="B646" s="7" t="s">
        <v>265</v>
      </c>
      <c r="C646" s="7" t="str">
        <f>IFERROR(__xludf.DUMMYFUNCTION("GOOGLETRANSLATE($B646, $A$2, $B$2)"),"More than 30 days ago")</f>
        <v>More than 30 days ago</v>
      </c>
      <c r="D646" s="7" t="s">
        <v>1558</v>
      </c>
      <c r="E646" s="7" t="s">
        <v>804</v>
      </c>
      <c r="F646" s="7" t="s">
        <v>1290</v>
      </c>
      <c r="G646" s="7" t="s">
        <v>260</v>
      </c>
      <c r="H646" s="7" t="s">
        <v>261</v>
      </c>
      <c r="I646" s="7" t="s">
        <v>261</v>
      </c>
      <c r="J646" s="7" t="str">
        <f>IFERROR(__xludf.DUMMYFUNCTION("GOOGLETRANSLATE($I646, ""de"", ""en"")"),"NO SALARY DATA")</f>
        <v>NO SALARY DATA</v>
      </c>
      <c r="K646" s="7" t="s">
        <v>261</v>
      </c>
      <c r="L646" s="7" t="s">
        <v>649</v>
      </c>
      <c r="M646" s="7" t="s">
        <v>263</v>
      </c>
      <c r="N646" s="7" t="s">
        <v>260</v>
      </c>
      <c r="O646" s="7"/>
      <c r="P646" s="37"/>
      <c r="Q646" s="7"/>
    </row>
    <row r="647">
      <c r="A647" s="7">
        <v>642.0</v>
      </c>
      <c r="B647" s="7" t="s">
        <v>375</v>
      </c>
      <c r="C647" s="7" t="str">
        <f>IFERROR(__xludf.DUMMYFUNCTION("GOOGLETRANSLATE($B647, $A$2, $B$2)"),"6 days ago")</f>
        <v>6 days ago</v>
      </c>
      <c r="D647" s="7" t="s">
        <v>1559</v>
      </c>
      <c r="E647" s="7" t="s">
        <v>258</v>
      </c>
      <c r="F647" s="7" t="s">
        <v>1560</v>
      </c>
      <c r="G647" s="7" t="s">
        <v>260</v>
      </c>
      <c r="H647" s="7" t="s">
        <v>261</v>
      </c>
      <c r="I647" s="7" t="s">
        <v>261</v>
      </c>
      <c r="J647" s="7" t="str">
        <f>IFERROR(__xludf.DUMMYFUNCTION("GOOGLETRANSLATE($I647, ""de"", ""en"")"),"NO SALARY DATA")</f>
        <v>NO SALARY DATA</v>
      </c>
      <c r="K647" s="7" t="s">
        <v>261</v>
      </c>
      <c r="L647" s="7" t="s">
        <v>286</v>
      </c>
      <c r="M647" s="7" t="s">
        <v>263</v>
      </c>
      <c r="N647" s="7" t="s">
        <v>260</v>
      </c>
      <c r="O647" s="7"/>
      <c r="P647" s="35"/>
      <c r="Q647" s="7"/>
    </row>
    <row r="648">
      <c r="A648" s="7">
        <v>643.0</v>
      </c>
      <c r="B648" s="7" t="s">
        <v>265</v>
      </c>
      <c r="C648" s="7" t="str">
        <f>IFERROR(__xludf.DUMMYFUNCTION("GOOGLETRANSLATE($B648, $A$2, $B$2)"),"More than 30 days ago")</f>
        <v>More than 30 days ago</v>
      </c>
      <c r="D648" s="7" t="s">
        <v>1561</v>
      </c>
      <c r="E648" s="7" t="s">
        <v>280</v>
      </c>
      <c r="F648" s="7" t="s">
        <v>1014</v>
      </c>
      <c r="G648" s="7" t="s">
        <v>260</v>
      </c>
      <c r="H648" s="7" t="s">
        <v>261</v>
      </c>
      <c r="I648" s="7" t="s">
        <v>261</v>
      </c>
      <c r="J648" s="7" t="str">
        <f>IFERROR(__xludf.DUMMYFUNCTION("GOOGLETRANSLATE($I648, ""de"", ""en"")"),"NO SALARY DATA")</f>
        <v>NO SALARY DATA</v>
      </c>
      <c r="K648" s="7" t="s">
        <v>261</v>
      </c>
      <c r="L648" s="7" t="s">
        <v>419</v>
      </c>
      <c r="M648" s="7" t="s">
        <v>263</v>
      </c>
      <c r="N648" s="7" t="s">
        <v>420</v>
      </c>
      <c r="O648" s="7"/>
      <c r="P648" s="35"/>
      <c r="Q648" s="7"/>
    </row>
    <row r="649">
      <c r="A649" s="7">
        <v>644.0</v>
      </c>
      <c r="B649" s="7" t="s">
        <v>469</v>
      </c>
      <c r="C649" s="7" t="str">
        <f>IFERROR(__xludf.DUMMYFUNCTION("GOOGLETRANSLATE($B649, $A$2, $B$2)"),"19 days ago")</f>
        <v>19 days ago</v>
      </c>
      <c r="D649" s="7" t="s">
        <v>1298</v>
      </c>
      <c r="E649" s="7" t="s">
        <v>280</v>
      </c>
      <c r="F649" s="7" t="s">
        <v>886</v>
      </c>
      <c r="G649" s="7" t="s">
        <v>260</v>
      </c>
      <c r="H649" s="7" t="s">
        <v>261</v>
      </c>
      <c r="I649" s="7" t="s">
        <v>261</v>
      </c>
      <c r="J649" s="7" t="str">
        <f>IFERROR(__xludf.DUMMYFUNCTION("GOOGLETRANSLATE($I649, ""de"", ""en"")"),"NO SALARY DATA")</f>
        <v>NO SALARY DATA</v>
      </c>
      <c r="K649" s="7" t="s">
        <v>261</v>
      </c>
      <c r="L649" s="7" t="s">
        <v>777</v>
      </c>
      <c r="M649" s="7" t="s">
        <v>322</v>
      </c>
      <c r="N649" s="7" t="s">
        <v>275</v>
      </c>
      <c r="O649" s="7"/>
      <c r="P649" s="35"/>
      <c r="Q649" s="7"/>
    </row>
    <row r="650">
      <c r="A650" s="7">
        <v>645.0</v>
      </c>
      <c r="B650" s="7" t="s">
        <v>265</v>
      </c>
      <c r="C650" s="7" t="str">
        <f>IFERROR(__xludf.DUMMYFUNCTION("GOOGLETRANSLATE($B650, $A$2, $B$2)"),"More than 30 days ago")</f>
        <v>More than 30 days ago</v>
      </c>
      <c r="D650" s="7" t="s">
        <v>1562</v>
      </c>
      <c r="E650" s="7" t="s">
        <v>271</v>
      </c>
      <c r="F650" s="7" t="s">
        <v>1563</v>
      </c>
      <c r="G650" s="7" t="s">
        <v>260</v>
      </c>
      <c r="H650" s="7" t="s">
        <v>261</v>
      </c>
      <c r="I650" s="7" t="s">
        <v>261</v>
      </c>
      <c r="J650" s="7" t="str">
        <f>IFERROR(__xludf.DUMMYFUNCTION("GOOGLETRANSLATE($I650, ""de"", ""en"")"),"NO SALARY DATA")</f>
        <v>NO SALARY DATA</v>
      </c>
      <c r="K650" s="7" t="s">
        <v>261</v>
      </c>
      <c r="L650" s="7" t="s">
        <v>1564</v>
      </c>
      <c r="M650" s="7" t="s">
        <v>263</v>
      </c>
      <c r="N650" s="7" t="s">
        <v>275</v>
      </c>
      <c r="O650" s="7"/>
      <c r="P650" s="37"/>
      <c r="Q650" s="7"/>
    </row>
    <row r="651">
      <c r="A651" s="7">
        <v>646.0</v>
      </c>
      <c r="B651" s="7" t="s">
        <v>288</v>
      </c>
      <c r="C651" s="7" t="str">
        <f>IFERROR(__xludf.DUMMYFUNCTION("GOOGLETRANSLATE($B651, $A$2, $B$2)"),"2 days ago")</f>
        <v>2 days ago</v>
      </c>
      <c r="D651" s="7" t="s">
        <v>1565</v>
      </c>
      <c r="E651" s="7" t="s">
        <v>348</v>
      </c>
      <c r="F651" s="7" t="s">
        <v>1566</v>
      </c>
      <c r="G651" s="7" t="s">
        <v>260</v>
      </c>
      <c r="H651" s="7" t="s">
        <v>261</v>
      </c>
      <c r="I651" s="7" t="s">
        <v>261</v>
      </c>
      <c r="J651" s="7" t="str">
        <f>IFERROR(__xludf.DUMMYFUNCTION("GOOGLETRANSLATE($I651, ""de"", ""en"")"),"NO SALARY DATA")</f>
        <v>NO SALARY DATA</v>
      </c>
      <c r="K651" s="7" t="s">
        <v>261</v>
      </c>
      <c r="L651" s="7" t="s">
        <v>777</v>
      </c>
      <c r="M651" s="7" t="s">
        <v>263</v>
      </c>
      <c r="N651" s="7" t="s">
        <v>260</v>
      </c>
      <c r="O651" s="7"/>
      <c r="P651" s="35"/>
      <c r="Q651" s="7"/>
    </row>
    <row r="652">
      <c r="A652" s="7">
        <v>647.0</v>
      </c>
      <c r="B652" s="7" t="s">
        <v>371</v>
      </c>
      <c r="C652" s="7" t="str">
        <f>IFERROR(__xludf.DUMMYFUNCTION("GOOGLETRANSLATE($B652, $A$2, $B$2)"),"Straight")</f>
        <v>Straight</v>
      </c>
      <c r="D652" s="7" t="s">
        <v>1567</v>
      </c>
      <c r="E652" s="7" t="s">
        <v>1568</v>
      </c>
      <c r="F652" s="7" t="s">
        <v>1569</v>
      </c>
      <c r="G652" s="7" t="s">
        <v>260</v>
      </c>
      <c r="H652" s="7" t="s">
        <v>261</v>
      </c>
      <c r="I652" s="7" t="s">
        <v>261</v>
      </c>
      <c r="J652" s="7" t="str">
        <f>IFERROR(__xludf.DUMMYFUNCTION("GOOGLETRANSLATE($I652, ""de"", ""en"")"),"NO SALARY DATA")</f>
        <v>NO SALARY DATA</v>
      </c>
      <c r="K652" s="7" t="s">
        <v>261</v>
      </c>
      <c r="L652" s="7" t="s">
        <v>558</v>
      </c>
      <c r="M652" s="7" t="s">
        <v>263</v>
      </c>
      <c r="N652" s="7" t="s">
        <v>434</v>
      </c>
      <c r="O652" s="7"/>
      <c r="P652" s="37"/>
      <c r="Q652" s="7"/>
    </row>
    <row r="653">
      <c r="A653" s="7">
        <v>648.0</v>
      </c>
      <c r="B653" s="7" t="s">
        <v>265</v>
      </c>
      <c r="C653" s="7" t="str">
        <f>IFERROR(__xludf.DUMMYFUNCTION("GOOGLETRANSLATE($B653, $A$2, $B$2)"),"More than 30 days ago")</f>
        <v>More than 30 days ago</v>
      </c>
      <c r="D653" s="7" t="s">
        <v>283</v>
      </c>
      <c r="E653" s="7" t="s">
        <v>408</v>
      </c>
      <c r="F653" s="7" t="s">
        <v>1329</v>
      </c>
      <c r="G653" s="7" t="s">
        <v>260</v>
      </c>
      <c r="H653" s="7" t="s">
        <v>261</v>
      </c>
      <c r="I653" s="7" t="s">
        <v>261</v>
      </c>
      <c r="J653" s="7" t="str">
        <f>IFERROR(__xludf.DUMMYFUNCTION("GOOGLETRANSLATE($I653, ""de"", ""en"")"),"NO SALARY DATA")</f>
        <v>NO SALARY DATA</v>
      </c>
      <c r="K653" s="7" t="s">
        <v>261</v>
      </c>
      <c r="L653" s="7" t="s">
        <v>410</v>
      </c>
      <c r="M653" s="7" t="s">
        <v>263</v>
      </c>
      <c r="N653" s="7" t="s">
        <v>260</v>
      </c>
      <c r="O653" s="7"/>
      <c r="P653" s="35"/>
      <c r="Q653" s="7"/>
    </row>
    <row r="654">
      <c r="A654" s="7">
        <v>649.0</v>
      </c>
      <c r="B654" s="7" t="s">
        <v>265</v>
      </c>
      <c r="C654" s="7" t="str">
        <f>IFERROR(__xludf.DUMMYFUNCTION("GOOGLETRANSLATE($B654, $A$2, $B$2)"),"More than 30 days ago")</f>
        <v>More than 30 days ago</v>
      </c>
      <c r="D654" s="7" t="s">
        <v>1417</v>
      </c>
      <c r="E654" s="7" t="s">
        <v>280</v>
      </c>
      <c r="F654" s="7" t="s">
        <v>1418</v>
      </c>
      <c r="G654" s="7" t="s">
        <v>260</v>
      </c>
      <c r="H654" s="7" t="s">
        <v>261</v>
      </c>
      <c r="I654" s="7" t="s">
        <v>261</v>
      </c>
      <c r="J654" s="7" t="str">
        <f>IFERROR(__xludf.DUMMYFUNCTION("GOOGLETRANSLATE($I654, ""de"", ""en"")"),"NO SALARY DATA")</f>
        <v>NO SALARY DATA</v>
      </c>
      <c r="K654" s="7" t="s">
        <v>261</v>
      </c>
      <c r="L654" s="7" t="s">
        <v>566</v>
      </c>
      <c r="M654" s="7" t="s">
        <v>263</v>
      </c>
      <c r="N654" s="7" t="s">
        <v>1419</v>
      </c>
      <c r="O654" s="7"/>
      <c r="P654" s="37"/>
      <c r="Q654" s="7"/>
    </row>
    <row r="655">
      <c r="A655" s="7">
        <v>650.0</v>
      </c>
      <c r="B655" s="7" t="s">
        <v>265</v>
      </c>
      <c r="C655" s="7" t="str">
        <f>IFERROR(__xludf.DUMMYFUNCTION("GOOGLETRANSLATE($B655, $A$2, $B$2)"),"More than 30 days ago")</f>
        <v>More than 30 days ago</v>
      </c>
      <c r="D655" s="7" t="s">
        <v>1570</v>
      </c>
      <c r="E655" s="7" t="s">
        <v>343</v>
      </c>
      <c r="F655" s="7" t="s">
        <v>1234</v>
      </c>
      <c r="G655" s="7" t="s">
        <v>260</v>
      </c>
      <c r="H655" s="7" t="s">
        <v>261</v>
      </c>
      <c r="I655" s="7" t="s">
        <v>261</v>
      </c>
      <c r="J655" s="7" t="str">
        <f>IFERROR(__xludf.DUMMYFUNCTION("GOOGLETRANSLATE($I655, ""de"", ""en"")"),"NO SALARY DATA")</f>
        <v>NO SALARY DATA</v>
      </c>
      <c r="K655" s="7" t="s">
        <v>261</v>
      </c>
      <c r="L655" s="7" t="s">
        <v>441</v>
      </c>
      <c r="M655" s="7" t="s">
        <v>263</v>
      </c>
      <c r="N655" s="7" t="s">
        <v>260</v>
      </c>
      <c r="O655" s="7"/>
      <c r="P655" s="35"/>
      <c r="Q655" s="7"/>
    </row>
    <row r="656">
      <c r="A656" s="7">
        <v>651.0</v>
      </c>
      <c r="B656" s="7" t="s">
        <v>379</v>
      </c>
      <c r="C656" s="7" t="str">
        <f>IFERROR(__xludf.DUMMYFUNCTION("GOOGLETRANSLATE($B656, $A$2, $B$2)"),"13 days ago")</f>
        <v>13 days ago</v>
      </c>
      <c r="D656" s="7" t="s">
        <v>1571</v>
      </c>
      <c r="E656" s="7" t="s">
        <v>480</v>
      </c>
      <c r="F656" s="7" t="s">
        <v>1572</v>
      </c>
      <c r="G656" s="7" t="s">
        <v>260</v>
      </c>
      <c r="H656" s="7" t="s">
        <v>261</v>
      </c>
      <c r="I656" s="7" t="s">
        <v>261</v>
      </c>
      <c r="J656" s="7" t="str">
        <f>IFERROR(__xludf.DUMMYFUNCTION("GOOGLETRANSLATE($I656, ""de"", ""en"")"),"NO SALARY DATA")</f>
        <v>NO SALARY DATA</v>
      </c>
      <c r="K656" s="7" t="s">
        <v>261</v>
      </c>
      <c r="L656" s="7" t="s">
        <v>643</v>
      </c>
      <c r="M656" s="7" t="s">
        <v>263</v>
      </c>
      <c r="N656" s="7" t="s">
        <v>532</v>
      </c>
      <c r="O656" s="7"/>
      <c r="P656" s="37"/>
      <c r="Q656" s="7"/>
    </row>
    <row r="657">
      <c r="A657" s="7">
        <v>652.0</v>
      </c>
      <c r="B657" s="7" t="s">
        <v>508</v>
      </c>
      <c r="C657" s="7" t="str">
        <f>IFERROR(__xludf.DUMMYFUNCTION("GOOGLETRANSLATE($B657, $A$2, $B$2)"),"24 days ago")</f>
        <v>24 days ago</v>
      </c>
      <c r="D657" s="7" t="s">
        <v>1573</v>
      </c>
      <c r="E657" s="7" t="s">
        <v>271</v>
      </c>
      <c r="F657" s="7" t="s">
        <v>1574</v>
      </c>
      <c r="G657" s="7" t="s">
        <v>260</v>
      </c>
      <c r="H657" s="7" t="s">
        <v>261</v>
      </c>
      <c r="I657" s="7" t="s">
        <v>261</v>
      </c>
      <c r="J657" s="7" t="str">
        <f>IFERROR(__xludf.DUMMYFUNCTION("GOOGLETRANSLATE($I657, ""de"", ""en"")"),"NO SALARY DATA")</f>
        <v>NO SALARY DATA</v>
      </c>
      <c r="K657" s="7" t="s">
        <v>261</v>
      </c>
      <c r="L657" s="7" t="s">
        <v>1575</v>
      </c>
      <c r="M657" s="7" t="s">
        <v>263</v>
      </c>
      <c r="N657" s="7" t="s">
        <v>260</v>
      </c>
      <c r="O657" s="7"/>
      <c r="P657" s="35"/>
      <c r="Q657" s="7"/>
    </row>
    <row r="658">
      <c r="A658" s="7">
        <v>653.0</v>
      </c>
      <c r="B658" s="7" t="s">
        <v>265</v>
      </c>
      <c r="C658" s="7" t="str">
        <f>IFERROR(__xludf.DUMMYFUNCTION("GOOGLETRANSLATE($B658, $A$2, $B$2)"),"More than 30 days ago")</f>
        <v>More than 30 days ago</v>
      </c>
      <c r="D658" s="7" t="s">
        <v>283</v>
      </c>
      <c r="E658" s="7" t="s">
        <v>368</v>
      </c>
      <c r="F658" s="7" t="s">
        <v>1576</v>
      </c>
      <c r="G658" s="7" t="s">
        <v>260</v>
      </c>
      <c r="H658" s="7" t="s">
        <v>261</v>
      </c>
      <c r="I658" s="7" t="s">
        <v>261</v>
      </c>
      <c r="J658" s="7" t="str">
        <f>IFERROR(__xludf.DUMMYFUNCTION("GOOGLETRANSLATE($I658, ""de"", ""en"")"),"NO SALARY DATA")</f>
        <v>NO SALARY DATA</v>
      </c>
      <c r="K658" s="7" t="s">
        <v>261</v>
      </c>
      <c r="L658" s="7" t="s">
        <v>1577</v>
      </c>
      <c r="M658" s="7" t="s">
        <v>263</v>
      </c>
      <c r="N658" s="7" t="s">
        <v>301</v>
      </c>
      <c r="O658" s="7"/>
      <c r="P658" s="37"/>
      <c r="Q658" s="7"/>
    </row>
    <row r="659">
      <c r="A659" s="7">
        <v>654.0</v>
      </c>
      <c r="B659" s="7" t="s">
        <v>265</v>
      </c>
      <c r="C659" s="7" t="str">
        <f>IFERROR(__xludf.DUMMYFUNCTION("GOOGLETRANSLATE($B659, $A$2, $B$2)"),"More than 30 days ago")</f>
        <v>More than 30 days ago</v>
      </c>
      <c r="D659" s="7" t="s">
        <v>1578</v>
      </c>
      <c r="E659" s="7" t="s">
        <v>439</v>
      </c>
      <c r="F659" s="7" t="s">
        <v>1579</v>
      </c>
      <c r="G659" s="7" t="s">
        <v>260</v>
      </c>
      <c r="H659" s="7" t="s">
        <v>261</v>
      </c>
      <c r="I659" s="7" t="s">
        <v>261</v>
      </c>
      <c r="J659" s="7" t="str">
        <f>IFERROR(__xludf.DUMMYFUNCTION("GOOGLETRANSLATE($I659, ""de"", ""en"")"),"NO SALARY DATA")</f>
        <v>NO SALARY DATA</v>
      </c>
      <c r="K659" s="7" t="s">
        <v>261</v>
      </c>
      <c r="L659" s="7" t="s">
        <v>370</v>
      </c>
      <c r="M659" s="7" t="s">
        <v>263</v>
      </c>
      <c r="N659" s="7" t="s">
        <v>260</v>
      </c>
      <c r="O659" s="7"/>
      <c r="P659" s="35"/>
      <c r="Q659" s="7"/>
    </row>
    <row r="660">
      <c r="A660" s="7">
        <v>655.0</v>
      </c>
      <c r="B660" s="7" t="s">
        <v>265</v>
      </c>
      <c r="C660" s="7" t="str">
        <f>IFERROR(__xludf.DUMMYFUNCTION("GOOGLETRANSLATE($B660, $A$2, $B$2)"),"More than 30 days ago")</f>
        <v>More than 30 days ago</v>
      </c>
      <c r="D660" s="7" t="s">
        <v>1580</v>
      </c>
      <c r="E660" s="7" t="s">
        <v>405</v>
      </c>
      <c r="F660" s="7" t="s">
        <v>1581</v>
      </c>
      <c r="G660" s="7" t="s">
        <v>260</v>
      </c>
      <c r="H660" s="7" t="s">
        <v>261</v>
      </c>
      <c r="I660" s="7" t="s">
        <v>261</v>
      </c>
      <c r="J660" s="7" t="str">
        <f>IFERROR(__xludf.DUMMYFUNCTION("GOOGLETRANSLATE($I660, ""de"", ""en"")"),"NO SALARY DATA")</f>
        <v>NO SALARY DATA</v>
      </c>
      <c r="K660" s="7" t="s">
        <v>261</v>
      </c>
      <c r="L660" s="7" t="s">
        <v>345</v>
      </c>
      <c r="M660" s="7" t="s">
        <v>263</v>
      </c>
      <c r="N660" s="7" t="s">
        <v>275</v>
      </c>
      <c r="O660" s="7"/>
      <c r="P660" s="37"/>
      <c r="Q660" s="7"/>
    </row>
    <row r="661">
      <c r="A661" s="7">
        <v>656.0</v>
      </c>
      <c r="B661" s="7" t="s">
        <v>265</v>
      </c>
      <c r="C661" s="7" t="str">
        <f>IFERROR(__xludf.DUMMYFUNCTION("GOOGLETRANSLATE($B661, $A$2, $B$2)"),"More than 30 days ago")</f>
        <v>More than 30 days ago</v>
      </c>
      <c r="D661" s="7" t="s">
        <v>1582</v>
      </c>
      <c r="E661" s="7" t="s">
        <v>480</v>
      </c>
      <c r="F661" s="7" t="s">
        <v>1274</v>
      </c>
      <c r="G661" s="7" t="s">
        <v>260</v>
      </c>
      <c r="H661" s="7" t="s">
        <v>261</v>
      </c>
      <c r="I661" s="7" t="s">
        <v>261</v>
      </c>
      <c r="J661" s="7" t="str">
        <f>IFERROR(__xludf.DUMMYFUNCTION("GOOGLETRANSLATE($I661, ""de"", ""en"")"),"NO SALARY DATA")</f>
        <v>NO SALARY DATA</v>
      </c>
      <c r="K661" s="7" t="s">
        <v>261</v>
      </c>
      <c r="L661" s="7" t="s">
        <v>286</v>
      </c>
      <c r="M661" s="7" t="s">
        <v>263</v>
      </c>
      <c r="N661" s="7" t="s">
        <v>260</v>
      </c>
      <c r="O661" s="7"/>
      <c r="P661" s="37"/>
      <c r="Q661" s="7"/>
    </row>
    <row r="662">
      <c r="A662" s="7">
        <v>657.0</v>
      </c>
      <c r="B662" s="7" t="s">
        <v>358</v>
      </c>
      <c r="C662" s="7" t="str">
        <f>IFERROR(__xludf.DUMMYFUNCTION("GOOGLETRANSLATE($B662, $A$2, $B$2)"),"28 days ago")</f>
        <v>28 days ago</v>
      </c>
      <c r="D662" s="7" t="s">
        <v>283</v>
      </c>
      <c r="E662" s="7" t="s">
        <v>258</v>
      </c>
      <c r="F662" s="7" t="s">
        <v>1583</v>
      </c>
      <c r="G662" s="7" t="s">
        <v>260</v>
      </c>
      <c r="H662" s="7" t="s">
        <v>261</v>
      </c>
      <c r="I662" s="7" t="s">
        <v>261</v>
      </c>
      <c r="J662" s="7" t="str">
        <f>IFERROR(__xludf.DUMMYFUNCTION("GOOGLETRANSLATE($I662, ""de"", ""en"")"),"NO SALARY DATA")</f>
        <v>NO SALARY DATA</v>
      </c>
      <c r="K662" s="7" t="s">
        <v>261</v>
      </c>
      <c r="L662" s="7" t="s">
        <v>291</v>
      </c>
      <c r="M662" s="7" t="s">
        <v>263</v>
      </c>
      <c r="N662" s="7" t="s">
        <v>260</v>
      </c>
      <c r="O662" s="7"/>
      <c r="P662" s="37"/>
      <c r="Q662" s="7"/>
    </row>
    <row r="663">
      <c r="A663" s="7">
        <v>658.0</v>
      </c>
      <c r="B663" s="7" t="s">
        <v>265</v>
      </c>
      <c r="C663" s="7" t="str">
        <f>IFERROR(__xludf.DUMMYFUNCTION("GOOGLETRANSLATE($B663, $A$2, $B$2)"),"More than 30 days ago")</f>
        <v>More than 30 days ago</v>
      </c>
      <c r="D663" s="7" t="s">
        <v>706</v>
      </c>
      <c r="E663" s="7" t="s">
        <v>480</v>
      </c>
      <c r="F663" s="7" t="s">
        <v>1584</v>
      </c>
      <c r="G663" s="7" t="s">
        <v>260</v>
      </c>
      <c r="H663" s="7" t="s">
        <v>261</v>
      </c>
      <c r="I663" s="7" t="s">
        <v>261</v>
      </c>
      <c r="J663" s="7" t="str">
        <f>IFERROR(__xludf.DUMMYFUNCTION("GOOGLETRANSLATE($I663, ""de"", ""en"")"),"NO SALARY DATA")</f>
        <v>NO SALARY DATA</v>
      </c>
      <c r="K663" s="7" t="s">
        <v>261</v>
      </c>
      <c r="L663" s="7" t="s">
        <v>419</v>
      </c>
      <c r="M663" s="7" t="s">
        <v>263</v>
      </c>
      <c r="N663" s="7" t="s">
        <v>260</v>
      </c>
      <c r="O663" s="7"/>
      <c r="P663" s="35"/>
      <c r="Q663" s="7"/>
    </row>
    <row r="664">
      <c r="A664" s="7">
        <v>659.0</v>
      </c>
      <c r="B664" s="7" t="s">
        <v>265</v>
      </c>
      <c r="C664" s="7" t="str">
        <f>IFERROR(__xludf.DUMMYFUNCTION("GOOGLETRANSLATE($B664, $A$2, $B$2)"),"More than 30 days ago")</f>
        <v>More than 30 days ago</v>
      </c>
      <c r="D664" s="7" t="s">
        <v>1167</v>
      </c>
      <c r="E664" s="7" t="s">
        <v>401</v>
      </c>
      <c r="F664" s="7" t="s">
        <v>1168</v>
      </c>
      <c r="G664" s="7" t="s">
        <v>260</v>
      </c>
      <c r="H664" s="7" t="s">
        <v>261</v>
      </c>
      <c r="I664" s="7" t="s">
        <v>261</v>
      </c>
      <c r="J664" s="7" t="str">
        <f>IFERROR(__xludf.DUMMYFUNCTION("GOOGLETRANSLATE($I664, ""de"", ""en"")"),"NO SALARY DATA")</f>
        <v>NO SALARY DATA</v>
      </c>
      <c r="K664" s="7" t="s">
        <v>261</v>
      </c>
      <c r="L664" s="7"/>
      <c r="M664" s="7" t="s">
        <v>263</v>
      </c>
      <c r="N664" s="7" t="s">
        <v>1169</v>
      </c>
      <c r="O664" s="7"/>
      <c r="P664" s="37"/>
      <c r="Q664" s="7"/>
    </row>
    <row r="665">
      <c r="A665" s="7">
        <v>660.0</v>
      </c>
      <c r="B665" s="7" t="s">
        <v>892</v>
      </c>
      <c r="C665" s="7" t="str">
        <f>IFERROR(__xludf.DUMMYFUNCTION("GOOGLETRANSLATE($B665, $A$2, $B$2)"),"25 days ago")</f>
        <v>25 days ago</v>
      </c>
      <c r="D665" s="7" t="s">
        <v>1585</v>
      </c>
      <c r="E665" s="7" t="s">
        <v>280</v>
      </c>
      <c r="F665" s="7" t="s">
        <v>1586</v>
      </c>
      <c r="G665" s="7" t="s">
        <v>260</v>
      </c>
      <c r="H665" s="7" t="s">
        <v>261</v>
      </c>
      <c r="I665" s="7" t="s">
        <v>261</v>
      </c>
      <c r="J665" s="7" t="str">
        <f>IFERROR(__xludf.DUMMYFUNCTION("GOOGLETRANSLATE($I665, ""de"", ""en"")"),"NO SALARY DATA")</f>
        <v>NO SALARY DATA</v>
      </c>
      <c r="K665" s="7" t="s">
        <v>261</v>
      </c>
      <c r="L665" s="7" t="s">
        <v>1587</v>
      </c>
      <c r="M665" s="7" t="s">
        <v>263</v>
      </c>
      <c r="N665" s="7" t="s">
        <v>260</v>
      </c>
      <c r="O665" s="7"/>
      <c r="P665" s="35"/>
      <c r="Q665" s="7"/>
    </row>
    <row r="666">
      <c r="A666" s="7">
        <v>661.0</v>
      </c>
      <c r="B666" s="7" t="s">
        <v>358</v>
      </c>
      <c r="C666" s="7" t="str">
        <f>IFERROR(__xludf.DUMMYFUNCTION("GOOGLETRANSLATE($B666, $A$2, $B$2)"),"28 days ago")</f>
        <v>28 days ago</v>
      </c>
      <c r="D666" s="7" t="s">
        <v>1588</v>
      </c>
      <c r="E666" s="7" t="s">
        <v>258</v>
      </c>
      <c r="F666" s="7" t="s">
        <v>1589</v>
      </c>
      <c r="G666" s="7" t="s">
        <v>260</v>
      </c>
      <c r="H666" s="7" t="s">
        <v>261</v>
      </c>
      <c r="I666" s="7" t="s">
        <v>261</v>
      </c>
      <c r="J666" s="7" t="str">
        <f>IFERROR(__xludf.DUMMYFUNCTION("GOOGLETRANSLATE($I666, ""de"", ""en"")"),"NO SALARY DATA")</f>
        <v>NO SALARY DATA</v>
      </c>
      <c r="K666" s="7" t="s">
        <v>261</v>
      </c>
      <c r="L666" s="7" t="s">
        <v>425</v>
      </c>
      <c r="M666" s="7" t="s">
        <v>263</v>
      </c>
      <c r="N666" s="7" t="s">
        <v>819</v>
      </c>
      <c r="O666" s="7"/>
      <c r="P666" s="35"/>
      <c r="Q666" s="7"/>
    </row>
    <row r="667">
      <c r="A667" s="7">
        <v>662.0</v>
      </c>
      <c r="B667" s="7" t="s">
        <v>265</v>
      </c>
      <c r="C667" s="7" t="str">
        <f>IFERROR(__xludf.DUMMYFUNCTION("GOOGLETRANSLATE($B667, $A$2, $B$2)"),"More than 30 days ago")</f>
        <v>More than 30 days ago</v>
      </c>
      <c r="D667" s="7" t="s">
        <v>1590</v>
      </c>
      <c r="E667" s="7" t="s">
        <v>1591</v>
      </c>
      <c r="F667" s="7" t="s">
        <v>1592</v>
      </c>
      <c r="G667" s="7" t="s">
        <v>260</v>
      </c>
      <c r="H667" s="7" t="s">
        <v>261</v>
      </c>
      <c r="I667" s="7" t="s">
        <v>261</v>
      </c>
      <c r="J667" s="7" t="str">
        <f>IFERROR(__xludf.DUMMYFUNCTION("GOOGLETRANSLATE($I667, ""de"", ""en"")"),"NO SALARY DATA")</f>
        <v>NO SALARY DATA</v>
      </c>
      <c r="K667" s="7" t="s">
        <v>261</v>
      </c>
      <c r="L667" s="7"/>
      <c r="M667" s="7" t="s">
        <v>263</v>
      </c>
      <c r="N667" s="7" t="s">
        <v>331</v>
      </c>
      <c r="O667" s="7"/>
      <c r="P667" s="37"/>
      <c r="Q667" s="7"/>
    </row>
    <row r="668">
      <c r="A668" s="7">
        <v>663.0</v>
      </c>
      <c r="B668" s="7" t="s">
        <v>265</v>
      </c>
      <c r="C668" s="7" t="str">
        <f>IFERROR(__xludf.DUMMYFUNCTION("GOOGLETRANSLATE($B668, $A$2, $B$2)"),"More than 30 days ago")</f>
        <v>More than 30 days ago</v>
      </c>
      <c r="D668" s="7" t="s">
        <v>1593</v>
      </c>
      <c r="E668" s="7" t="s">
        <v>343</v>
      </c>
      <c r="F668" s="7" t="s">
        <v>1468</v>
      </c>
      <c r="G668" s="7" t="s">
        <v>260</v>
      </c>
      <c r="H668" s="7" t="s">
        <v>261</v>
      </c>
      <c r="I668" s="7" t="s">
        <v>261</v>
      </c>
      <c r="J668" s="7" t="str">
        <f>IFERROR(__xludf.DUMMYFUNCTION("GOOGLETRANSLATE($I668, ""de"", ""en"")"),"NO SALARY DATA")</f>
        <v>NO SALARY DATA</v>
      </c>
      <c r="K668" s="7" t="s">
        <v>261</v>
      </c>
      <c r="L668" s="7" t="s">
        <v>339</v>
      </c>
      <c r="M668" s="7" t="s">
        <v>673</v>
      </c>
      <c r="N668" s="7" t="s">
        <v>260</v>
      </c>
      <c r="O668" s="7"/>
      <c r="P668" s="35"/>
      <c r="Q668" s="7"/>
    </row>
    <row r="669">
      <c r="A669" s="7">
        <v>664.0</v>
      </c>
      <c r="B669" s="7" t="s">
        <v>265</v>
      </c>
      <c r="C669" s="7" t="str">
        <f>IFERROR(__xludf.DUMMYFUNCTION("GOOGLETRANSLATE($B669, $A$2, $B$2)"),"More than 30 days ago")</f>
        <v>More than 30 days ago</v>
      </c>
      <c r="D669" s="7" t="s">
        <v>1063</v>
      </c>
      <c r="E669" s="7" t="s">
        <v>510</v>
      </c>
      <c r="F669" s="7" t="s">
        <v>1594</v>
      </c>
      <c r="G669" s="7" t="s">
        <v>260</v>
      </c>
      <c r="H669" s="7" t="s">
        <v>261</v>
      </c>
      <c r="I669" s="7" t="s">
        <v>261</v>
      </c>
      <c r="J669" s="7" t="str">
        <f>IFERROR(__xludf.DUMMYFUNCTION("GOOGLETRANSLATE($I669, ""de"", ""en"")"),"NO SALARY DATA")</f>
        <v>NO SALARY DATA</v>
      </c>
      <c r="K669" s="7" t="s">
        <v>261</v>
      </c>
      <c r="L669" s="7" t="s">
        <v>312</v>
      </c>
      <c r="M669" s="7" t="s">
        <v>263</v>
      </c>
      <c r="N669" s="7" t="s">
        <v>819</v>
      </c>
      <c r="O669" s="7"/>
      <c r="P669" s="37"/>
      <c r="Q669" s="7"/>
    </row>
    <row r="670">
      <c r="A670" s="7">
        <v>665.0</v>
      </c>
      <c r="B670" s="7" t="s">
        <v>265</v>
      </c>
      <c r="C670" s="7" t="str">
        <f>IFERROR(__xludf.DUMMYFUNCTION("GOOGLETRANSLATE($B670, $A$2, $B$2)"),"More than 30 days ago")</f>
        <v>More than 30 days ago</v>
      </c>
      <c r="D670" s="7" t="s">
        <v>1595</v>
      </c>
      <c r="E670" s="7" t="s">
        <v>271</v>
      </c>
      <c r="F670" s="7" t="s">
        <v>1596</v>
      </c>
      <c r="G670" s="7" t="s">
        <v>260</v>
      </c>
      <c r="H670" s="7" t="s">
        <v>261</v>
      </c>
      <c r="I670" s="7" t="s">
        <v>261</v>
      </c>
      <c r="J670" s="7" t="str">
        <f>IFERROR(__xludf.DUMMYFUNCTION("GOOGLETRANSLATE($I670, ""de"", ""en"")"),"NO SALARY DATA")</f>
        <v>NO SALARY DATA</v>
      </c>
      <c r="K670" s="7" t="s">
        <v>261</v>
      </c>
      <c r="L670" s="7" t="s">
        <v>908</v>
      </c>
      <c r="M670" s="7" t="s">
        <v>263</v>
      </c>
      <c r="N670" s="7" t="s">
        <v>260</v>
      </c>
      <c r="O670" s="7"/>
      <c r="P670" s="37"/>
      <c r="Q670" s="7"/>
    </row>
    <row r="671">
      <c r="A671" s="7">
        <v>666.0</v>
      </c>
      <c r="B671" s="7" t="s">
        <v>1271</v>
      </c>
      <c r="C671" s="7" t="str">
        <f>IFERROR(__xludf.DUMMYFUNCTION("GOOGLETRANSLATE($B671, $A$2, $B$2)"),"27 days ago")</f>
        <v>27 days ago</v>
      </c>
      <c r="D671" s="7" t="s">
        <v>762</v>
      </c>
      <c r="E671" s="7" t="s">
        <v>858</v>
      </c>
      <c r="F671" s="7" t="s">
        <v>1597</v>
      </c>
      <c r="G671" s="7" t="s">
        <v>260</v>
      </c>
      <c r="H671" s="7" t="s">
        <v>261</v>
      </c>
      <c r="I671" s="7" t="s">
        <v>261</v>
      </c>
      <c r="J671" s="7" t="str">
        <f>IFERROR(__xludf.DUMMYFUNCTION("GOOGLETRANSLATE($I671, ""de"", ""en"")"),"NO SALARY DATA")</f>
        <v>NO SALARY DATA</v>
      </c>
      <c r="K671" s="7" t="s">
        <v>261</v>
      </c>
      <c r="L671" s="7" t="s">
        <v>321</v>
      </c>
      <c r="M671" s="7" t="s">
        <v>263</v>
      </c>
      <c r="N671" s="7" t="s">
        <v>260</v>
      </c>
      <c r="O671" s="7"/>
      <c r="P671" s="35"/>
      <c r="Q671" s="7"/>
    </row>
    <row r="672">
      <c r="A672" s="7">
        <v>667.0</v>
      </c>
      <c r="B672" s="7" t="s">
        <v>637</v>
      </c>
      <c r="C672" s="7" t="str">
        <f>IFERROR(__xludf.DUMMYFUNCTION("GOOGLETRANSLATE($B672, $A$2, $B$2)"),"17 days ago")</f>
        <v>17 days ago</v>
      </c>
      <c r="D672" s="7" t="s">
        <v>938</v>
      </c>
      <c r="E672" s="7" t="s">
        <v>271</v>
      </c>
      <c r="F672" s="7" t="s">
        <v>939</v>
      </c>
      <c r="G672" s="7" t="s">
        <v>260</v>
      </c>
      <c r="H672" s="7" t="s">
        <v>261</v>
      </c>
      <c r="I672" s="7" t="s">
        <v>261</v>
      </c>
      <c r="J672" s="7" t="str">
        <f>IFERROR(__xludf.DUMMYFUNCTION("GOOGLETRANSLATE($I672, ""de"", ""en"")"),"NO SALARY DATA")</f>
        <v>NO SALARY DATA</v>
      </c>
      <c r="K672" s="7" t="s">
        <v>261</v>
      </c>
      <c r="L672" s="7" t="s">
        <v>666</v>
      </c>
      <c r="M672" s="7" t="s">
        <v>263</v>
      </c>
      <c r="N672" s="7" t="s">
        <v>323</v>
      </c>
      <c r="O672" s="7"/>
      <c r="P672" s="35"/>
      <c r="Q672" s="7"/>
    </row>
    <row r="673">
      <c r="A673" s="7">
        <v>668.0</v>
      </c>
      <c r="B673" s="7" t="s">
        <v>265</v>
      </c>
      <c r="C673" s="7" t="str">
        <f>IFERROR(__xludf.DUMMYFUNCTION("GOOGLETRANSLATE($B673, $A$2, $B$2)"),"More than 30 days ago")</f>
        <v>More than 30 days ago</v>
      </c>
      <c r="D673" s="7" t="s">
        <v>706</v>
      </c>
      <c r="E673" s="7" t="s">
        <v>401</v>
      </c>
      <c r="F673" s="7" t="s">
        <v>1397</v>
      </c>
      <c r="G673" s="7" t="s">
        <v>260</v>
      </c>
      <c r="H673" s="7" t="s">
        <v>261</v>
      </c>
      <c r="I673" s="7" t="s">
        <v>261</v>
      </c>
      <c r="J673" s="7" t="str">
        <f>IFERROR(__xludf.DUMMYFUNCTION("GOOGLETRANSLATE($I673, ""de"", ""en"")"),"NO SALARY DATA")</f>
        <v>NO SALARY DATA</v>
      </c>
      <c r="K673" s="7" t="s">
        <v>261</v>
      </c>
      <c r="L673" s="7" t="s">
        <v>423</v>
      </c>
      <c r="M673" s="7" t="s">
        <v>263</v>
      </c>
      <c r="N673" s="7" t="s">
        <v>323</v>
      </c>
      <c r="O673" s="7"/>
      <c r="P673" s="37"/>
      <c r="Q673" s="7"/>
    </row>
    <row r="674">
      <c r="A674" s="7">
        <v>669.0</v>
      </c>
      <c r="B674" s="7" t="s">
        <v>269</v>
      </c>
      <c r="C674" s="7" t="str">
        <f>IFERROR(__xludf.DUMMYFUNCTION("GOOGLETRANSLATE($B674, $A$2, $B$2)"),"5 days ago")</f>
        <v>5 days ago</v>
      </c>
      <c r="D674" s="7" t="s">
        <v>570</v>
      </c>
      <c r="E674" s="7" t="s">
        <v>480</v>
      </c>
      <c r="F674" s="7" t="s">
        <v>571</v>
      </c>
      <c r="G674" s="7" t="s">
        <v>260</v>
      </c>
      <c r="H674" s="7" t="s">
        <v>261</v>
      </c>
      <c r="I674" s="7" t="s">
        <v>261</v>
      </c>
      <c r="J674" s="7" t="str">
        <f>IFERROR(__xludf.DUMMYFUNCTION("GOOGLETRANSLATE($I674, ""de"", ""en"")"),"NO SALARY DATA")</f>
        <v>NO SALARY DATA</v>
      </c>
      <c r="K674" s="7" t="s">
        <v>261</v>
      </c>
      <c r="L674" s="7" t="s">
        <v>572</v>
      </c>
      <c r="M674" s="7" t="s">
        <v>263</v>
      </c>
      <c r="N674" s="7" t="s">
        <v>260</v>
      </c>
      <c r="O674" s="7"/>
      <c r="P674" s="35"/>
      <c r="Q674" s="7"/>
    </row>
    <row r="675">
      <c r="A675" s="7">
        <v>670.0</v>
      </c>
      <c r="B675" s="7" t="s">
        <v>265</v>
      </c>
      <c r="C675" s="7" t="str">
        <f>IFERROR(__xludf.DUMMYFUNCTION("GOOGLETRANSLATE($B675, $A$2, $B$2)"),"More than 30 days ago")</f>
        <v>More than 30 days ago</v>
      </c>
      <c r="D675" s="7" t="s">
        <v>1598</v>
      </c>
      <c r="E675" s="7" t="s">
        <v>622</v>
      </c>
      <c r="F675" s="7" t="s">
        <v>652</v>
      </c>
      <c r="G675" s="7" t="s">
        <v>260</v>
      </c>
      <c r="H675" s="7" t="s">
        <v>261</v>
      </c>
      <c r="I675" s="7" t="s">
        <v>261</v>
      </c>
      <c r="J675" s="7" t="str">
        <f>IFERROR(__xludf.DUMMYFUNCTION("GOOGLETRANSLATE($I675, ""de"", ""en"")"),"NO SALARY DATA")</f>
        <v>NO SALARY DATA</v>
      </c>
      <c r="K675" s="7" t="s">
        <v>261</v>
      </c>
      <c r="L675" s="7" t="s">
        <v>666</v>
      </c>
      <c r="M675" s="7" t="s">
        <v>274</v>
      </c>
      <c r="N675" s="7" t="s">
        <v>532</v>
      </c>
      <c r="O675" s="7"/>
      <c r="P675" s="37"/>
      <c r="Q675" s="7"/>
    </row>
    <row r="676">
      <c r="A676" s="7">
        <v>671.0</v>
      </c>
      <c r="B676" s="7" t="s">
        <v>265</v>
      </c>
      <c r="C676" s="7" t="str">
        <f>IFERROR(__xludf.DUMMYFUNCTION("GOOGLETRANSLATE($B676, $A$2, $B$2)"),"More than 30 days ago")</f>
        <v>More than 30 days ago</v>
      </c>
      <c r="D676" s="7" t="s">
        <v>1599</v>
      </c>
      <c r="E676" s="7" t="s">
        <v>622</v>
      </c>
      <c r="F676" s="7" t="s">
        <v>1600</v>
      </c>
      <c r="G676" s="7" t="s">
        <v>260</v>
      </c>
      <c r="H676" s="7" t="s">
        <v>261</v>
      </c>
      <c r="I676" s="7" t="s">
        <v>261</v>
      </c>
      <c r="J676" s="7" t="str">
        <f>IFERROR(__xludf.DUMMYFUNCTION("GOOGLETRANSLATE($I676, ""de"", ""en"")"),"NO SALARY DATA")</f>
        <v>NO SALARY DATA</v>
      </c>
      <c r="K676" s="7" t="s">
        <v>261</v>
      </c>
      <c r="L676" s="7" t="s">
        <v>286</v>
      </c>
      <c r="M676" s="7" t="s">
        <v>263</v>
      </c>
      <c r="N676" s="7" t="s">
        <v>260</v>
      </c>
      <c r="O676" s="7"/>
      <c r="P676" s="37"/>
      <c r="Q676" s="7"/>
    </row>
    <row r="677">
      <c r="A677" s="7">
        <v>672.0</v>
      </c>
      <c r="B677" s="7" t="s">
        <v>346</v>
      </c>
      <c r="C677" s="7" t="str">
        <f>IFERROR(__xludf.DUMMYFUNCTION("GOOGLETRANSLATE($B677, $A$2, $B$2)"),"12 days ago")</f>
        <v>12 days ago</v>
      </c>
      <c r="D677" s="7" t="s">
        <v>1601</v>
      </c>
      <c r="E677" s="7" t="s">
        <v>1602</v>
      </c>
      <c r="F677" s="7" t="s">
        <v>1603</v>
      </c>
      <c r="G677" s="7" t="s">
        <v>260</v>
      </c>
      <c r="H677" s="7" t="s">
        <v>261</v>
      </c>
      <c r="I677" s="7" t="s">
        <v>261</v>
      </c>
      <c r="J677" s="7" t="str">
        <f>IFERROR(__xludf.DUMMYFUNCTION("GOOGLETRANSLATE($I677, ""de"", ""en"")"),"NO SALARY DATA")</f>
        <v>NO SALARY DATA</v>
      </c>
      <c r="K677" s="7" t="s">
        <v>261</v>
      </c>
      <c r="L677" s="7" t="s">
        <v>777</v>
      </c>
      <c r="M677" s="7" t="s">
        <v>263</v>
      </c>
      <c r="N677" s="7" t="s">
        <v>260</v>
      </c>
      <c r="O677" s="7"/>
      <c r="P677" s="37"/>
      <c r="Q677" s="7"/>
    </row>
    <row r="678">
      <c r="A678" s="7">
        <v>673.0</v>
      </c>
      <c r="B678" s="7" t="s">
        <v>265</v>
      </c>
      <c r="C678" s="7" t="str">
        <f>IFERROR(__xludf.DUMMYFUNCTION("GOOGLETRANSLATE($B678, $A$2, $B$2)"),"More than 30 days ago")</f>
        <v>More than 30 days ago</v>
      </c>
      <c r="D678" s="7" t="s">
        <v>1604</v>
      </c>
      <c r="E678" s="7" t="s">
        <v>271</v>
      </c>
      <c r="F678" s="7" t="s">
        <v>1605</v>
      </c>
      <c r="G678" s="7" t="s">
        <v>260</v>
      </c>
      <c r="H678" s="7" t="s">
        <v>261</v>
      </c>
      <c r="I678" s="7" t="s">
        <v>261</v>
      </c>
      <c r="J678" s="7" t="str">
        <f>IFERROR(__xludf.DUMMYFUNCTION("GOOGLETRANSLATE($I678, ""de"", ""en"")"),"NO SALARY DATA")</f>
        <v>NO SALARY DATA</v>
      </c>
      <c r="K678" s="7" t="s">
        <v>261</v>
      </c>
      <c r="L678" s="7" t="s">
        <v>370</v>
      </c>
      <c r="M678" s="7" t="s">
        <v>263</v>
      </c>
      <c r="N678" s="7" t="s">
        <v>260</v>
      </c>
      <c r="O678" s="7"/>
      <c r="P678" s="37"/>
      <c r="Q678" s="7"/>
    </row>
    <row r="679">
      <c r="A679" s="7">
        <v>674.0</v>
      </c>
      <c r="B679" s="7" t="s">
        <v>265</v>
      </c>
      <c r="C679" s="7" t="str">
        <f>IFERROR(__xludf.DUMMYFUNCTION("GOOGLETRANSLATE($B679, $A$2, $B$2)"),"More than 30 days ago")</f>
        <v>More than 30 days ago</v>
      </c>
      <c r="D679" s="7" t="s">
        <v>1496</v>
      </c>
      <c r="E679" s="7" t="s">
        <v>1458</v>
      </c>
      <c r="F679" s="7" t="s">
        <v>1497</v>
      </c>
      <c r="G679" s="7" t="s">
        <v>260</v>
      </c>
      <c r="H679" s="7" t="s">
        <v>261</v>
      </c>
      <c r="I679" s="7" t="s">
        <v>261</v>
      </c>
      <c r="J679" s="7" t="str">
        <f>IFERROR(__xludf.DUMMYFUNCTION("GOOGLETRANSLATE($I679, ""de"", ""en"")"),"NO SALARY DATA")</f>
        <v>NO SALARY DATA</v>
      </c>
      <c r="K679" s="7" t="s">
        <v>261</v>
      </c>
      <c r="L679" s="7" t="s">
        <v>1498</v>
      </c>
      <c r="M679" s="7" t="s">
        <v>263</v>
      </c>
      <c r="N679" s="7" t="s">
        <v>260</v>
      </c>
      <c r="O679" s="7"/>
      <c r="P679" s="37"/>
      <c r="Q679" s="7"/>
    </row>
    <row r="680">
      <c r="A680" s="7">
        <v>675.0</v>
      </c>
      <c r="B680" s="7" t="s">
        <v>265</v>
      </c>
      <c r="C680" s="7" t="str">
        <f>IFERROR(__xludf.DUMMYFUNCTION("GOOGLETRANSLATE($B680, $A$2, $B$2)"),"More than 30 days ago")</f>
        <v>More than 30 days ago</v>
      </c>
      <c r="D680" s="7" t="s">
        <v>1606</v>
      </c>
      <c r="E680" s="7" t="s">
        <v>343</v>
      </c>
      <c r="F680" s="7" t="s">
        <v>869</v>
      </c>
      <c r="G680" s="7" t="s">
        <v>870</v>
      </c>
      <c r="H680" s="7">
        <v>60000.0</v>
      </c>
      <c r="I680" s="7" t="s">
        <v>384</v>
      </c>
      <c r="J680" s="7" t="str">
        <f>IFERROR(__xludf.DUMMYFUNCTION("GOOGLETRANSLATE($I680, ""de"", ""en"")"),"year")</f>
        <v>year</v>
      </c>
      <c r="K680" s="7">
        <v>60000.0</v>
      </c>
      <c r="L680" s="7" t="s">
        <v>756</v>
      </c>
      <c r="M680" s="7" t="s">
        <v>263</v>
      </c>
      <c r="N680" s="7" t="s">
        <v>260</v>
      </c>
      <c r="O680" s="7"/>
      <c r="P680" s="35"/>
      <c r="Q680" s="7"/>
    </row>
    <row r="681">
      <c r="A681" s="7">
        <v>676.0</v>
      </c>
      <c r="B681" s="7" t="s">
        <v>375</v>
      </c>
      <c r="C681" s="7" t="str">
        <f>IFERROR(__xludf.DUMMYFUNCTION("GOOGLETRANSLATE($B681, $A$2, $B$2)"),"6 days ago")</f>
        <v>6 days ago</v>
      </c>
      <c r="D681" s="7" t="s">
        <v>1607</v>
      </c>
      <c r="E681" s="7" t="s">
        <v>348</v>
      </c>
      <c r="F681" s="7" t="s">
        <v>499</v>
      </c>
      <c r="G681" s="7" t="s">
        <v>260</v>
      </c>
      <c r="H681" s="7" t="s">
        <v>261</v>
      </c>
      <c r="I681" s="7" t="s">
        <v>261</v>
      </c>
      <c r="J681" s="7" t="str">
        <f>IFERROR(__xludf.DUMMYFUNCTION("GOOGLETRANSLATE($I681, ""de"", ""en"")"),"NO SALARY DATA")</f>
        <v>NO SALARY DATA</v>
      </c>
      <c r="K681" s="7" t="s">
        <v>261</v>
      </c>
      <c r="L681" s="7" t="s">
        <v>1608</v>
      </c>
      <c r="M681" s="7" t="s">
        <v>263</v>
      </c>
      <c r="N681" s="7" t="s">
        <v>323</v>
      </c>
      <c r="O681" s="7"/>
      <c r="P681" s="37"/>
      <c r="Q681" s="7"/>
    </row>
    <row r="682">
      <c r="A682" s="7">
        <v>677.0</v>
      </c>
      <c r="B682" s="7" t="s">
        <v>265</v>
      </c>
      <c r="C682" s="7" t="str">
        <f>IFERROR(__xludf.DUMMYFUNCTION("GOOGLETRANSLATE($B682, $A$2, $B$2)"),"More than 30 days ago")</f>
        <v>More than 30 days ago</v>
      </c>
      <c r="D682" s="7" t="s">
        <v>1609</v>
      </c>
      <c r="E682" s="7" t="s">
        <v>258</v>
      </c>
      <c r="F682" s="7" t="s">
        <v>772</v>
      </c>
      <c r="G682" s="7" t="s">
        <v>260</v>
      </c>
      <c r="H682" s="7" t="s">
        <v>261</v>
      </c>
      <c r="I682" s="7" t="s">
        <v>261</v>
      </c>
      <c r="J682" s="7" t="str">
        <f>IFERROR(__xludf.DUMMYFUNCTION("GOOGLETRANSLATE($I682, ""de"", ""en"")"),"NO SALARY DATA")</f>
        <v>NO SALARY DATA</v>
      </c>
      <c r="K682" s="7" t="s">
        <v>261</v>
      </c>
      <c r="L682" s="7" t="s">
        <v>773</v>
      </c>
      <c r="M682" s="7" t="s">
        <v>263</v>
      </c>
      <c r="N682" s="7" t="s">
        <v>260</v>
      </c>
      <c r="O682" s="7"/>
      <c r="P682" s="37"/>
      <c r="Q682" s="7"/>
    </row>
    <row r="683">
      <c r="A683" s="7">
        <v>678.0</v>
      </c>
      <c r="B683" s="7" t="s">
        <v>332</v>
      </c>
      <c r="C683" s="7" t="str">
        <f>IFERROR(__xludf.DUMMYFUNCTION("GOOGLETRANSLATE($B683, $A$2, $B$2)"),"4 days ago")</f>
        <v>4 days ago</v>
      </c>
      <c r="D683" s="7" t="s">
        <v>1610</v>
      </c>
      <c r="E683" s="7" t="s">
        <v>1108</v>
      </c>
      <c r="F683" s="7" t="s">
        <v>1611</v>
      </c>
      <c r="G683" s="7" t="s">
        <v>260</v>
      </c>
      <c r="H683" s="7" t="s">
        <v>261</v>
      </c>
      <c r="I683" s="7" t="s">
        <v>261</v>
      </c>
      <c r="J683" s="7" t="str">
        <f>IFERROR(__xludf.DUMMYFUNCTION("GOOGLETRANSLATE($I683, ""de"", ""en"")"),"NO SALARY DATA")</f>
        <v>NO SALARY DATA</v>
      </c>
      <c r="K683" s="7" t="s">
        <v>261</v>
      </c>
      <c r="L683" s="7"/>
      <c r="M683" s="7" t="s">
        <v>263</v>
      </c>
      <c r="N683" s="7" t="s">
        <v>260</v>
      </c>
      <c r="O683" s="7"/>
      <c r="P683" s="35"/>
      <c r="Q683" s="7"/>
    </row>
    <row r="684">
      <c r="A684" s="7">
        <v>679.0</v>
      </c>
      <c r="B684" s="7" t="s">
        <v>265</v>
      </c>
      <c r="C684" s="7" t="str">
        <f>IFERROR(__xludf.DUMMYFUNCTION("GOOGLETRANSLATE($B684, $A$2, $B$2)"),"More than 30 days ago")</f>
        <v>More than 30 days ago</v>
      </c>
      <c r="D684" s="7" t="s">
        <v>1612</v>
      </c>
      <c r="E684" s="7" t="s">
        <v>1613</v>
      </c>
      <c r="F684" s="7" t="s">
        <v>1614</v>
      </c>
      <c r="G684" s="7" t="s">
        <v>260</v>
      </c>
      <c r="H684" s="7" t="s">
        <v>261</v>
      </c>
      <c r="I684" s="7" t="s">
        <v>261</v>
      </c>
      <c r="J684" s="7" t="str">
        <f>IFERROR(__xludf.DUMMYFUNCTION("GOOGLETRANSLATE($I684, ""de"", ""en"")"),"NO SALARY DATA")</f>
        <v>NO SALARY DATA</v>
      </c>
      <c r="K684" s="7" t="s">
        <v>261</v>
      </c>
      <c r="L684" s="7" t="s">
        <v>295</v>
      </c>
      <c r="M684" s="7" t="s">
        <v>263</v>
      </c>
      <c r="N684" s="7" t="s">
        <v>819</v>
      </c>
      <c r="O684" s="7"/>
      <c r="P684" s="35"/>
      <c r="Q684" s="7"/>
    </row>
    <row r="685">
      <c r="A685" s="7">
        <v>680.0</v>
      </c>
      <c r="B685" s="7" t="s">
        <v>265</v>
      </c>
      <c r="C685" s="7" t="str">
        <f>IFERROR(__xludf.DUMMYFUNCTION("GOOGLETRANSLATE($B685, $A$2, $B$2)"),"More than 30 days ago")</f>
        <v>More than 30 days ago</v>
      </c>
      <c r="D685" s="7" t="s">
        <v>1615</v>
      </c>
      <c r="E685" s="7" t="s">
        <v>348</v>
      </c>
      <c r="F685" s="7" t="s">
        <v>1170</v>
      </c>
      <c r="G685" s="7" t="s">
        <v>260</v>
      </c>
      <c r="H685" s="7" t="s">
        <v>261</v>
      </c>
      <c r="I685" s="7" t="s">
        <v>261</v>
      </c>
      <c r="J685" s="7" t="str">
        <f>IFERROR(__xludf.DUMMYFUNCTION("GOOGLETRANSLATE($I685, ""de"", ""en"")"),"NO SALARY DATA")</f>
        <v>NO SALARY DATA</v>
      </c>
      <c r="K685" s="7" t="s">
        <v>261</v>
      </c>
      <c r="L685" s="7" t="s">
        <v>345</v>
      </c>
      <c r="M685" s="7" t="s">
        <v>263</v>
      </c>
      <c r="N685" s="7" t="s">
        <v>399</v>
      </c>
      <c r="O685" s="7"/>
      <c r="P685" s="37"/>
      <c r="Q685" s="7"/>
    </row>
    <row r="686">
      <c r="A686" s="7">
        <v>681.0</v>
      </c>
      <c r="B686" s="7" t="s">
        <v>265</v>
      </c>
      <c r="C686" s="7" t="str">
        <f>IFERROR(__xludf.DUMMYFUNCTION("GOOGLETRANSLATE($B686, $A$2, $B$2)"),"More than 30 days ago")</f>
        <v>More than 30 days ago</v>
      </c>
      <c r="D686" s="7" t="s">
        <v>1616</v>
      </c>
      <c r="E686" s="7" t="s">
        <v>258</v>
      </c>
      <c r="F686" s="7" t="s">
        <v>1617</v>
      </c>
      <c r="G686" s="7" t="s">
        <v>260</v>
      </c>
      <c r="H686" s="7" t="s">
        <v>261</v>
      </c>
      <c r="I686" s="7" t="s">
        <v>261</v>
      </c>
      <c r="J686" s="7" t="str">
        <f>IFERROR(__xludf.DUMMYFUNCTION("GOOGLETRANSLATE($I686, ""de"", ""en"")"),"NO SALARY DATA")</f>
        <v>NO SALARY DATA</v>
      </c>
      <c r="K686" s="7" t="s">
        <v>261</v>
      </c>
      <c r="L686" s="7" t="s">
        <v>649</v>
      </c>
      <c r="M686" s="7" t="s">
        <v>263</v>
      </c>
      <c r="N686" s="7" t="s">
        <v>260</v>
      </c>
      <c r="O686" s="7"/>
      <c r="P686" s="35"/>
      <c r="Q686" s="7"/>
    </row>
    <row r="687">
      <c r="A687" s="7">
        <v>682.0</v>
      </c>
      <c r="B687" s="7" t="s">
        <v>265</v>
      </c>
      <c r="C687" s="7" t="str">
        <f>IFERROR(__xludf.DUMMYFUNCTION("GOOGLETRANSLATE($B687, $A$2, $B$2)"),"More than 30 days ago")</f>
        <v>More than 30 days ago</v>
      </c>
      <c r="D687" s="7" t="s">
        <v>1618</v>
      </c>
      <c r="E687" s="7" t="s">
        <v>271</v>
      </c>
      <c r="F687" s="7" t="s">
        <v>1619</v>
      </c>
      <c r="G687" s="7" t="s">
        <v>260</v>
      </c>
      <c r="H687" s="7" t="s">
        <v>261</v>
      </c>
      <c r="I687" s="7" t="s">
        <v>261</v>
      </c>
      <c r="J687" s="7" t="str">
        <f>IFERROR(__xludf.DUMMYFUNCTION("GOOGLETRANSLATE($I687, ""de"", ""en"")"),"NO SALARY DATA")</f>
        <v>NO SALARY DATA</v>
      </c>
      <c r="K687" s="7" t="s">
        <v>261</v>
      </c>
      <c r="L687" s="7" t="s">
        <v>327</v>
      </c>
      <c r="M687" s="7" t="s">
        <v>263</v>
      </c>
      <c r="N687" s="7" t="s">
        <v>491</v>
      </c>
      <c r="O687" s="7"/>
      <c r="P687" s="35"/>
      <c r="Q687" s="7"/>
    </row>
    <row r="688">
      <c r="A688" s="7">
        <v>683.0</v>
      </c>
      <c r="B688" s="7" t="s">
        <v>265</v>
      </c>
      <c r="C688" s="7" t="str">
        <f>IFERROR(__xludf.DUMMYFUNCTION("GOOGLETRANSLATE($B688, $A$2, $B$2)"),"More than 30 days ago")</f>
        <v>More than 30 days ago</v>
      </c>
      <c r="D688" s="7" t="s">
        <v>1620</v>
      </c>
      <c r="E688" s="7" t="s">
        <v>258</v>
      </c>
      <c r="F688" s="7" t="s">
        <v>1621</v>
      </c>
      <c r="G688" s="7" t="s">
        <v>260</v>
      </c>
      <c r="H688" s="7" t="s">
        <v>261</v>
      </c>
      <c r="I688" s="7" t="s">
        <v>261</v>
      </c>
      <c r="J688" s="7" t="str">
        <f>IFERROR(__xludf.DUMMYFUNCTION("GOOGLETRANSLATE($I688, ""de"", ""en"")"),"NO SALARY DATA")</f>
        <v>NO SALARY DATA</v>
      </c>
      <c r="K688" s="7" t="s">
        <v>261</v>
      </c>
      <c r="L688" s="7" t="s">
        <v>569</v>
      </c>
      <c r="M688" s="7" t="s">
        <v>263</v>
      </c>
      <c r="N688" s="7" t="s">
        <v>331</v>
      </c>
      <c r="O688" s="7"/>
      <c r="P688" s="37"/>
      <c r="Q688" s="7"/>
    </row>
    <row r="689">
      <c r="A689" s="7">
        <v>684.0</v>
      </c>
      <c r="B689" s="7" t="s">
        <v>265</v>
      </c>
      <c r="C689" s="7" t="str">
        <f>IFERROR(__xludf.DUMMYFUNCTION("GOOGLETRANSLATE($B689, $A$2, $B$2)"),"More than 30 days ago")</f>
        <v>More than 30 days ago</v>
      </c>
      <c r="D689" s="7" t="s">
        <v>1622</v>
      </c>
      <c r="E689" s="7" t="s">
        <v>343</v>
      </c>
      <c r="F689" s="7" t="s">
        <v>1623</v>
      </c>
      <c r="G689" s="7" t="s">
        <v>260</v>
      </c>
      <c r="H689" s="7" t="s">
        <v>261</v>
      </c>
      <c r="I689" s="7" t="s">
        <v>261</v>
      </c>
      <c r="J689" s="7" t="str">
        <f>IFERROR(__xludf.DUMMYFUNCTION("GOOGLETRANSLATE($I689, ""de"", ""en"")"),"NO SALARY DATA")</f>
        <v>NO SALARY DATA</v>
      </c>
      <c r="K689" s="7" t="s">
        <v>261</v>
      </c>
      <c r="L689" s="7" t="s">
        <v>1373</v>
      </c>
      <c r="M689" s="7" t="s">
        <v>263</v>
      </c>
      <c r="N689" s="7" t="s">
        <v>260</v>
      </c>
      <c r="O689" s="7"/>
      <c r="P689" s="35"/>
      <c r="Q689" s="7"/>
    </row>
    <row r="690">
      <c r="A690" s="7">
        <v>685.0</v>
      </c>
      <c r="B690" s="7" t="s">
        <v>508</v>
      </c>
      <c r="C690" s="7" t="str">
        <f>IFERROR(__xludf.DUMMYFUNCTION("GOOGLETRANSLATE($B690, $A$2, $B$2)"),"24 days ago")</f>
        <v>24 days ago</v>
      </c>
      <c r="D690" s="7" t="s">
        <v>1624</v>
      </c>
      <c r="E690" s="7" t="s">
        <v>1625</v>
      </c>
      <c r="F690" s="7" t="s">
        <v>1626</v>
      </c>
      <c r="G690" s="7" t="s">
        <v>260</v>
      </c>
      <c r="H690" s="7" t="s">
        <v>261</v>
      </c>
      <c r="I690" s="7" t="s">
        <v>261</v>
      </c>
      <c r="J690" s="7" t="str">
        <f>IFERROR(__xludf.DUMMYFUNCTION("GOOGLETRANSLATE($I690, ""de"", ""en"")"),"NO SALARY DATA")</f>
        <v>NO SALARY DATA</v>
      </c>
      <c r="K690" s="7" t="s">
        <v>261</v>
      </c>
      <c r="L690" s="7" t="s">
        <v>321</v>
      </c>
      <c r="M690" s="7" t="s">
        <v>263</v>
      </c>
      <c r="N690" s="7" t="s">
        <v>275</v>
      </c>
      <c r="O690" s="7"/>
      <c r="P690" s="37"/>
      <c r="Q690" s="7"/>
    </row>
    <row r="691">
      <c r="A691" s="7">
        <v>686.0</v>
      </c>
      <c r="B691" s="7" t="s">
        <v>265</v>
      </c>
      <c r="C691" s="7" t="str">
        <f>IFERROR(__xludf.DUMMYFUNCTION("GOOGLETRANSLATE($B691, $A$2, $B$2)"),"More than 30 days ago")</f>
        <v>More than 30 days ago</v>
      </c>
      <c r="D691" s="7" t="s">
        <v>1627</v>
      </c>
      <c r="E691" s="7" t="s">
        <v>1628</v>
      </c>
      <c r="F691" s="7" t="s">
        <v>1629</v>
      </c>
      <c r="G691" s="7" t="s">
        <v>260</v>
      </c>
      <c r="H691" s="7" t="s">
        <v>261</v>
      </c>
      <c r="I691" s="7" t="s">
        <v>261</v>
      </c>
      <c r="J691" s="7" t="str">
        <f>IFERROR(__xludf.DUMMYFUNCTION("GOOGLETRANSLATE($I691, ""de"", ""en"")"),"NO SALARY DATA")</f>
        <v>NO SALARY DATA</v>
      </c>
      <c r="K691" s="7" t="s">
        <v>261</v>
      </c>
      <c r="L691" s="7"/>
      <c r="M691" s="7" t="s">
        <v>263</v>
      </c>
      <c r="N691" s="7" t="s">
        <v>260</v>
      </c>
      <c r="O691" s="7"/>
      <c r="P691" s="37"/>
      <c r="Q691" s="7"/>
    </row>
    <row r="692">
      <c r="A692" s="7">
        <v>687.0</v>
      </c>
      <c r="B692" s="7" t="s">
        <v>265</v>
      </c>
      <c r="C692" s="7" t="str">
        <f>IFERROR(__xludf.DUMMYFUNCTION("GOOGLETRANSLATE($B692, $A$2, $B$2)"),"More than 30 days ago")</f>
        <v>More than 30 days ago</v>
      </c>
      <c r="D692" s="7" t="s">
        <v>1630</v>
      </c>
      <c r="E692" s="7" t="s">
        <v>258</v>
      </c>
      <c r="F692" s="7" t="s">
        <v>718</v>
      </c>
      <c r="G692" s="7" t="s">
        <v>260</v>
      </c>
      <c r="H692" s="7" t="s">
        <v>261</v>
      </c>
      <c r="I692" s="7" t="s">
        <v>261</v>
      </c>
      <c r="J692" s="7" t="str">
        <f>IFERROR(__xludf.DUMMYFUNCTION("GOOGLETRANSLATE($I692, ""de"", ""en"")"),"NO SALARY DATA")</f>
        <v>NO SALARY DATA</v>
      </c>
      <c r="K692" s="7" t="s">
        <v>261</v>
      </c>
      <c r="L692" s="7" t="s">
        <v>1631</v>
      </c>
      <c r="M692" s="7" t="s">
        <v>263</v>
      </c>
      <c r="N692" s="7" t="s">
        <v>260</v>
      </c>
      <c r="O692" s="7"/>
      <c r="P692" s="37"/>
      <c r="Q692" s="7"/>
    </row>
    <row r="693">
      <c r="A693" s="7">
        <v>688.0</v>
      </c>
      <c r="B693" s="7" t="s">
        <v>302</v>
      </c>
      <c r="C693" s="7" t="str">
        <f>IFERROR(__xludf.DUMMYFUNCTION("GOOGLETRANSLATE($B693, $A$2, $B$2)"),"today")</f>
        <v>today</v>
      </c>
      <c r="D693" s="7" t="s">
        <v>1632</v>
      </c>
      <c r="E693" s="7" t="s">
        <v>271</v>
      </c>
      <c r="F693" s="7" t="s">
        <v>1633</v>
      </c>
      <c r="G693" s="7" t="s">
        <v>260</v>
      </c>
      <c r="H693" s="7" t="s">
        <v>261</v>
      </c>
      <c r="I693" s="7" t="s">
        <v>261</v>
      </c>
      <c r="J693" s="7" t="str">
        <f>IFERROR(__xludf.DUMMYFUNCTION("GOOGLETRANSLATE($I693, ""de"", ""en"")"),"NO SALARY DATA")</f>
        <v>NO SALARY DATA</v>
      </c>
      <c r="K693" s="7" t="s">
        <v>261</v>
      </c>
      <c r="L693" s="7" t="s">
        <v>643</v>
      </c>
      <c r="M693" s="7" t="s">
        <v>263</v>
      </c>
      <c r="N693" s="7" t="s">
        <v>260</v>
      </c>
      <c r="O693" s="7"/>
      <c r="P693" s="37"/>
      <c r="Q693" s="7"/>
    </row>
    <row r="694">
      <c r="A694" s="7">
        <v>689.0</v>
      </c>
      <c r="B694" s="7" t="s">
        <v>269</v>
      </c>
      <c r="C694" s="7" t="str">
        <f>IFERROR(__xludf.DUMMYFUNCTION("GOOGLETRANSLATE($B694, $A$2, $B$2)"),"5 days ago")</f>
        <v>5 days ago</v>
      </c>
      <c r="D694" s="7" t="s">
        <v>1634</v>
      </c>
      <c r="E694" s="7" t="s">
        <v>280</v>
      </c>
      <c r="F694" s="7" t="s">
        <v>1436</v>
      </c>
      <c r="G694" s="7" t="s">
        <v>260</v>
      </c>
      <c r="H694" s="7" t="s">
        <v>261</v>
      </c>
      <c r="I694" s="7" t="s">
        <v>261</v>
      </c>
      <c r="J694" s="7" t="str">
        <f>IFERROR(__xludf.DUMMYFUNCTION("GOOGLETRANSLATE($I694, ""de"", ""en"")"),"NO SALARY DATA")</f>
        <v>NO SALARY DATA</v>
      </c>
      <c r="K694" s="7" t="s">
        <v>261</v>
      </c>
      <c r="L694" s="7" t="s">
        <v>345</v>
      </c>
      <c r="M694" s="7" t="s">
        <v>263</v>
      </c>
      <c r="N694" s="7" t="s">
        <v>260</v>
      </c>
      <c r="O694" s="7"/>
      <c r="P694" s="37"/>
      <c r="Q694" s="7"/>
    </row>
    <row r="695">
      <c r="A695" s="7">
        <v>690.0</v>
      </c>
      <c r="B695" s="7" t="s">
        <v>265</v>
      </c>
      <c r="C695" s="7" t="str">
        <f>IFERROR(__xludf.DUMMYFUNCTION("GOOGLETRANSLATE($B695, $A$2, $B$2)"),"More than 30 days ago")</f>
        <v>More than 30 days ago</v>
      </c>
      <c r="D695" s="7" t="s">
        <v>706</v>
      </c>
      <c r="E695" s="7" t="s">
        <v>408</v>
      </c>
      <c r="F695" s="7" t="s">
        <v>1635</v>
      </c>
      <c r="G695" s="7" t="s">
        <v>260</v>
      </c>
      <c r="H695" s="7" t="s">
        <v>261</v>
      </c>
      <c r="I695" s="7" t="s">
        <v>261</v>
      </c>
      <c r="J695" s="7" t="str">
        <f>IFERROR(__xludf.DUMMYFUNCTION("GOOGLETRANSLATE($I695, ""de"", ""en"")"),"NO SALARY DATA")</f>
        <v>NO SALARY DATA</v>
      </c>
      <c r="K695" s="7" t="s">
        <v>261</v>
      </c>
      <c r="L695" s="7" t="s">
        <v>321</v>
      </c>
      <c r="M695" s="7" t="s">
        <v>263</v>
      </c>
      <c r="N695" s="7" t="s">
        <v>260</v>
      </c>
      <c r="O695" s="7"/>
      <c r="P695" s="37"/>
      <c r="Q695" s="7"/>
    </row>
    <row r="696">
      <c r="A696" s="7">
        <v>691.0</v>
      </c>
      <c r="B696" s="7" t="s">
        <v>508</v>
      </c>
      <c r="C696" s="7" t="str">
        <f>IFERROR(__xludf.DUMMYFUNCTION("GOOGLETRANSLATE($B696, $A$2, $B$2)"),"24 days ago")</f>
        <v>24 days ago</v>
      </c>
      <c r="D696" s="7" t="s">
        <v>1427</v>
      </c>
      <c r="E696" s="7" t="s">
        <v>439</v>
      </c>
      <c r="F696" s="7" t="s">
        <v>1636</v>
      </c>
      <c r="G696" s="7" t="s">
        <v>260</v>
      </c>
      <c r="H696" s="7" t="s">
        <v>261</v>
      </c>
      <c r="I696" s="7" t="s">
        <v>261</v>
      </c>
      <c r="J696" s="7" t="str">
        <f>IFERROR(__xludf.DUMMYFUNCTION("GOOGLETRANSLATE($I696, ""de"", ""en"")"),"NO SALARY DATA")</f>
        <v>NO SALARY DATA</v>
      </c>
      <c r="K696" s="7" t="s">
        <v>261</v>
      </c>
      <c r="L696" s="7" t="s">
        <v>1637</v>
      </c>
      <c r="M696" s="7" t="s">
        <v>263</v>
      </c>
      <c r="N696" s="7" t="s">
        <v>260</v>
      </c>
      <c r="O696" s="7"/>
      <c r="P696" s="37"/>
      <c r="Q696" s="7"/>
    </row>
    <row r="697">
      <c r="A697" s="7">
        <v>692.0</v>
      </c>
      <c r="B697" s="7" t="s">
        <v>265</v>
      </c>
      <c r="C697" s="7" t="str">
        <f>IFERROR(__xludf.DUMMYFUNCTION("GOOGLETRANSLATE($B697, $A$2, $B$2)"),"More than 30 days ago")</f>
        <v>More than 30 days ago</v>
      </c>
      <c r="D697" s="7" t="s">
        <v>1638</v>
      </c>
      <c r="E697" s="7" t="s">
        <v>683</v>
      </c>
      <c r="F697" s="7" t="s">
        <v>1639</v>
      </c>
      <c r="G697" s="7" t="s">
        <v>260</v>
      </c>
      <c r="H697" s="7" t="s">
        <v>261</v>
      </c>
      <c r="I697" s="7" t="s">
        <v>261</v>
      </c>
      <c r="J697" s="7" t="str">
        <f>IFERROR(__xludf.DUMMYFUNCTION("GOOGLETRANSLATE($I697, ""de"", ""en"")"),"NO SALARY DATA")</f>
        <v>NO SALARY DATA</v>
      </c>
      <c r="K697" s="7" t="s">
        <v>261</v>
      </c>
      <c r="L697" s="7" t="s">
        <v>649</v>
      </c>
      <c r="M697" s="7" t="s">
        <v>263</v>
      </c>
      <c r="N697" s="7" t="s">
        <v>260</v>
      </c>
      <c r="O697" s="7"/>
      <c r="P697" s="35"/>
      <c r="Q697" s="7"/>
    </row>
    <row r="698">
      <c r="A698" s="7">
        <v>693.0</v>
      </c>
      <c r="B698" s="7" t="s">
        <v>346</v>
      </c>
      <c r="C698" s="7" t="str">
        <f>IFERROR(__xludf.DUMMYFUNCTION("GOOGLETRANSLATE($B698, $A$2, $B$2)"),"12 days ago")</f>
        <v>12 days ago</v>
      </c>
      <c r="D698" s="7" t="s">
        <v>1640</v>
      </c>
      <c r="E698" s="7" t="s">
        <v>258</v>
      </c>
      <c r="F698" s="7" t="s">
        <v>1641</v>
      </c>
      <c r="G698" s="7" t="s">
        <v>260</v>
      </c>
      <c r="H698" s="7" t="s">
        <v>261</v>
      </c>
      <c r="I698" s="7" t="s">
        <v>261</v>
      </c>
      <c r="J698" s="7" t="str">
        <f>IFERROR(__xludf.DUMMYFUNCTION("GOOGLETRANSLATE($I698, ""de"", ""en"")"),"NO SALARY DATA")</f>
        <v>NO SALARY DATA</v>
      </c>
      <c r="K698" s="7" t="s">
        <v>261</v>
      </c>
      <c r="L698" s="7" t="s">
        <v>278</v>
      </c>
      <c r="M698" s="7" t="s">
        <v>452</v>
      </c>
      <c r="N698" s="7" t="s">
        <v>434</v>
      </c>
      <c r="O698" s="7"/>
      <c r="P698" s="35"/>
      <c r="Q698" s="7"/>
    </row>
    <row r="699">
      <c r="A699" s="7">
        <v>694.0</v>
      </c>
      <c r="B699" s="7" t="s">
        <v>265</v>
      </c>
      <c r="C699" s="7" t="str">
        <f>IFERROR(__xludf.DUMMYFUNCTION("GOOGLETRANSLATE($B699, $A$2, $B$2)"),"More than 30 days ago")</f>
        <v>More than 30 days ago</v>
      </c>
      <c r="D699" s="7" t="s">
        <v>1642</v>
      </c>
      <c r="E699" s="7" t="s">
        <v>1643</v>
      </c>
      <c r="F699" s="7" t="s">
        <v>1644</v>
      </c>
      <c r="G699" s="7" t="s">
        <v>260</v>
      </c>
      <c r="H699" s="7" t="s">
        <v>261</v>
      </c>
      <c r="I699" s="7" t="s">
        <v>261</v>
      </c>
      <c r="J699" s="7" t="str">
        <f>IFERROR(__xludf.DUMMYFUNCTION("GOOGLETRANSLATE($I699, ""de"", ""en"")"),"NO SALARY DATA")</f>
        <v>NO SALARY DATA</v>
      </c>
      <c r="K699" s="7" t="s">
        <v>261</v>
      </c>
      <c r="L699" s="7" t="s">
        <v>777</v>
      </c>
      <c r="M699" s="7" t="s">
        <v>263</v>
      </c>
      <c r="N699" s="7" t="s">
        <v>275</v>
      </c>
      <c r="O699" s="7"/>
      <c r="P699" s="35"/>
      <c r="Q699" s="7"/>
    </row>
    <row r="700">
      <c r="A700" s="7">
        <v>695.0</v>
      </c>
      <c r="B700" s="7" t="s">
        <v>265</v>
      </c>
      <c r="C700" s="7" t="str">
        <f>IFERROR(__xludf.DUMMYFUNCTION("GOOGLETRANSLATE($B700, $A$2, $B$2)"),"More than 30 days ago")</f>
        <v>More than 30 days ago</v>
      </c>
      <c r="D700" s="7" t="s">
        <v>1645</v>
      </c>
      <c r="E700" s="7" t="s">
        <v>271</v>
      </c>
      <c r="F700" s="7" t="s">
        <v>969</v>
      </c>
      <c r="G700" s="7" t="s">
        <v>260</v>
      </c>
      <c r="H700" s="7" t="s">
        <v>261</v>
      </c>
      <c r="I700" s="7" t="s">
        <v>261</v>
      </c>
      <c r="J700" s="7" t="str">
        <f>IFERROR(__xludf.DUMMYFUNCTION("GOOGLETRANSLATE($I700, ""de"", ""en"")"),"NO SALARY DATA")</f>
        <v>NO SALARY DATA</v>
      </c>
      <c r="K700" s="7" t="s">
        <v>261</v>
      </c>
      <c r="L700" s="7" t="s">
        <v>455</v>
      </c>
      <c r="M700" s="7" t="s">
        <v>263</v>
      </c>
      <c r="N700" s="7" t="s">
        <v>819</v>
      </c>
      <c r="O700" s="7"/>
      <c r="P700" s="35"/>
      <c r="Q700" s="7"/>
    </row>
    <row r="701">
      <c r="A701" s="7">
        <v>696.0</v>
      </c>
      <c r="B701" s="7" t="s">
        <v>375</v>
      </c>
      <c r="C701" s="7" t="str">
        <f>IFERROR(__xludf.DUMMYFUNCTION("GOOGLETRANSLATE($B701, $A$2, $B$2)"),"6 days ago")</f>
        <v>6 days ago</v>
      </c>
      <c r="D701" s="7" t="s">
        <v>1646</v>
      </c>
      <c r="E701" s="7" t="s">
        <v>348</v>
      </c>
      <c r="F701" s="7" t="s">
        <v>1647</v>
      </c>
      <c r="G701" s="7" t="s">
        <v>260</v>
      </c>
      <c r="H701" s="7" t="s">
        <v>261</v>
      </c>
      <c r="I701" s="7" t="s">
        <v>261</v>
      </c>
      <c r="J701" s="7" t="str">
        <f>IFERROR(__xludf.DUMMYFUNCTION("GOOGLETRANSLATE($I701, ""de"", ""en"")"),"NO SALARY DATA")</f>
        <v>NO SALARY DATA</v>
      </c>
      <c r="K701" s="7" t="s">
        <v>261</v>
      </c>
      <c r="L701" s="7"/>
      <c r="M701" s="7" t="s">
        <v>263</v>
      </c>
      <c r="N701" s="7" t="s">
        <v>399</v>
      </c>
      <c r="O701" s="7"/>
      <c r="P701" s="35"/>
      <c r="Q701" s="7"/>
    </row>
    <row r="702">
      <c r="A702" s="7">
        <v>697.0</v>
      </c>
      <c r="B702" s="7" t="s">
        <v>265</v>
      </c>
      <c r="C702" s="7" t="str">
        <f>IFERROR(__xludf.DUMMYFUNCTION("GOOGLETRANSLATE($B702, $A$2, $B$2)"),"More than 30 days ago")</f>
        <v>More than 30 days ago</v>
      </c>
      <c r="D702" s="7" t="s">
        <v>1648</v>
      </c>
      <c r="E702" s="7" t="s">
        <v>258</v>
      </c>
      <c r="F702" s="7" t="s">
        <v>1649</v>
      </c>
      <c r="G702" s="7" t="s">
        <v>260</v>
      </c>
      <c r="H702" s="7" t="s">
        <v>261</v>
      </c>
      <c r="I702" s="7" t="s">
        <v>261</v>
      </c>
      <c r="J702" s="7" t="str">
        <f>IFERROR(__xludf.DUMMYFUNCTION("GOOGLETRANSLATE($I702, ""de"", ""en"")"),"NO SALARY DATA")</f>
        <v>NO SALARY DATA</v>
      </c>
      <c r="K702" s="7" t="s">
        <v>261</v>
      </c>
      <c r="L702" s="7" t="s">
        <v>733</v>
      </c>
      <c r="M702" s="7" t="s">
        <v>263</v>
      </c>
      <c r="N702" s="7" t="s">
        <v>323</v>
      </c>
      <c r="O702" s="7"/>
      <c r="P702" s="35"/>
      <c r="Q702" s="7"/>
    </row>
    <row r="703">
      <c r="A703" s="7">
        <v>698.0</v>
      </c>
      <c r="B703" s="7" t="s">
        <v>269</v>
      </c>
      <c r="C703" s="7" t="str">
        <f>IFERROR(__xludf.DUMMYFUNCTION("GOOGLETRANSLATE($B703, $A$2, $B$2)"),"5 days ago")</f>
        <v>5 days ago</v>
      </c>
      <c r="D703" s="7" t="s">
        <v>1650</v>
      </c>
      <c r="E703" s="7" t="s">
        <v>629</v>
      </c>
      <c r="F703" s="7" t="s">
        <v>913</v>
      </c>
      <c r="G703" s="7" t="s">
        <v>260</v>
      </c>
      <c r="H703" s="7" t="s">
        <v>261</v>
      </c>
      <c r="I703" s="7" t="s">
        <v>261</v>
      </c>
      <c r="J703" s="7" t="str">
        <f>IFERROR(__xludf.DUMMYFUNCTION("GOOGLETRANSLATE($I703, ""de"", ""en"")"),"NO SALARY DATA")</f>
        <v>NO SALARY DATA</v>
      </c>
      <c r="K703" s="7" t="s">
        <v>261</v>
      </c>
      <c r="L703" s="7"/>
      <c r="M703" s="7" t="s">
        <v>263</v>
      </c>
      <c r="N703" s="7" t="s">
        <v>434</v>
      </c>
      <c r="O703" s="7"/>
      <c r="P703" s="37"/>
      <c r="Q703" s="7"/>
    </row>
    <row r="704">
      <c r="A704" s="7">
        <v>699.0</v>
      </c>
      <c r="B704" s="7" t="s">
        <v>265</v>
      </c>
      <c r="C704" s="7" t="str">
        <f>IFERROR(__xludf.DUMMYFUNCTION("GOOGLETRANSLATE($B704, $A$2, $B$2)"),"More than 30 days ago")</f>
        <v>More than 30 days ago</v>
      </c>
      <c r="D704" s="7" t="s">
        <v>1651</v>
      </c>
      <c r="E704" s="7" t="s">
        <v>343</v>
      </c>
      <c r="F704" s="7" t="s">
        <v>1652</v>
      </c>
      <c r="G704" s="7" t="s">
        <v>260</v>
      </c>
      <c r="H704" s="7" t="s">
        <v>261</v>
      </c>
      <c r="I704" s="7" t="s">
        <v>261</v>
      </c>
      <c r="J704" s="7" t="str">
        <f>IFERROR(__xludf.DUMMYFUNCTION("GOOGLETRANSLATE($I704, ""de"", ""en"")"),"NO SALARY DATA")</f>
        <v>NO SALARY DATA</v>
      </c>
      <c r="K704" s="7" t="s">
        <v>261</v>
      </c>
      <c r="L704" s="7" t="s">
        <v>1653</v>
      </c>
      <c r="M704" s="7" t="s">
        <v>263</v>
      </c>
      <c r="N704" s="7" t="s">
        <v>260</v>
      </c>
      <c r="O704" s="7"/>
      <c r="P704" s="35"/>
      <c r="Q704" s="7"/>
    </row>
    <row r="705">
      <c r="A705" s="7">
        <v>700.0</v>
      </c>
      <c r="B705" s="7" t="s">
        <v>379</v>
      </c>
      <c r="C705" s="7" t="str">
        <f>IFERROR(__xludf.DUMMYFUNCTION("GOOGLETRANSLATE($B705, $A$2, $B$2)"),"13 days ago")</f>
        <v>13 days ago</v>
      </c>
      <c r="D705" s="7" t="s">
        <v>1654</v>
      </c>
      <c r="E705" s="7" t="s">
        <v>1655</v>
      </c>
      <c r="F705" s="7" t="s">
        <v>1656</v>
      </c>
      <c r="G705" s="7" t="s">
        <v>260</v>
      </c>
      <c r="H705" s="7" t="s">
        <v>261</v>
      </c>
      <c r="I705" s="7" t="s">
        <v>261</v>
      </c>
      <c r="J705" s="7" t="str">
        <f>IFERROR(__xludf.DUMMYFUNCTION("GOOGLETRANSLATE($I705, ""de"", ""en"")"),"NO SALARY DATA")</f>
        <v>NO SALARY DATA</v>
      </c>
      <c r="K705" s="7" t="s">
        <v>261</v>
      </c>
      <c r="L705" s="7" t="s">
        <v>777</v>
      </c>
      <c r="M705" s="7" t="s">
        <v>263</v>
      </c>
      <c r="N705" s="7" t="s">
        <v>275</v>
      </c>
      <c r="O705" s="7"/>
      <c r="P705" s="37"/>
      <c r="Q705" s="7"/>
    </row>
    <row r="706">
      <c r="A706" s="7">
        <v>701.0</v>
      </c>
      <c r="B706" s="7" t="s">
        <v>358</v>
      </c>
      <c r="C706" s="7" t="str">
        <f>IFERROR(__xludf.DUMMYFUNCTION("GOOGLETRANSLATE($B706, $A$2, $B$2)"),"28 days ago")</f>
        <v>28 days ago</v>
      </c>
      <c r="D706" s="7" t="s">
        <v>1657</v>
      </c>
      <c r="E706" s="7" t="s">
        <v>408</v>
      </c>
      <c r="F706" s="7" t="s">
        <v>1658</v>
      </c>
      <c r="G706" s="7" t="s">
        <v>260</v>
      </c>
      <c r="H706" s="7" t="s">
        <v>261</v>
      </c>
      <c r="I706" s="7" t="s">
        <v>261</v>
      </c>
      <c r="J706" s="7" t="str">
        <f>IFERROR(__xludf.DUMMYFUNCTION("GOOGLETRANSLATE($I706, ""de"", ""en"")"),"NO SALARY DATA")</f>
        <v>NO SALARY DATA</v>
      </c>
      <c r="K706" s="7" t="s">
        <v>261</v>
      </c>
      <c r="L706" s="7" t="s">
        <v>838</v>
      </c>
      <c r="M706" s="7" t="s">
        <v>263</v>
      </c>
      <c r="N706" s="7" t="s">
        <v>260</v>
      </c>
      <c r="O706" s="7"/>
      <c r="P706" s="37"/>
      <c r="Q706" s="7"/>
    </row>
    <row r="707">
      <c r="A707" s="7">
        <v>702.0</v>
      </c>
      <c r="B707" s="7" t="s">
        <v>265</v>
      </c>
      <c r="C707" s="7" t="str">
        <f>IFERROR(__xludf.DUMMYFUNCTION("GOOGLETRANSLATE($B707, $A$2, $B$2)"),"More than 30 days ago")</f>
        <v>More than 30 days ago</v>
      </c>
      <c r="D707" s="7" t="s">
        <v>1659</v>
      </c>
      <c r="E707" s="7" t="s">
        <v>258</v>
      </c>
      <c r="F707" s="7" t="s">
        <v>1660</v>
      </c>
      <c r="G707" s="7" t="s">
        <v>260</v>
      </c>
      <c r="H707" s="7" t="s">
        <v>261</v>
      </c>
      <c r="I707" s="7" t="s">
        <v>261</v>
      </c>
      <c r="J707" s="7" t="str">
        <f>IFERROR(__xludf.DUMMYFUNCTION("GOOGLETRANSLATE($I707, ""de"", ""en"")"),"NO SALARY DATA")</f>
        <v>NO SALARY DATA</v>
      </c>
      <c r="K707" s="7" t="s">
        <v>261</v>
      </c>
      <c r="L707" s="7" t="s">
        <v>690</v>
      </c>
      <c r="M707" s="7" t="s">
        <v>263</v>
      </c>
      <c r="N707" s="7" t="s">
        <v>260</v>
      </c>
      <c r="O707" s="7"/>
      <c r="P707" s="37"/>
      <c r="Q707" s="7"/>
    </row>
    <row r="708">
      <c r="A708" s="7">
        <v>703.0</v>
      </c>
      <c r="B708" s="7" t="s">
        <v>265</v>
      </c>
      <c r="C708" s="7" t="str">
        <f>IFERROR(__xludf.DUMMYFUNCTION("GOOGLETRANSLATE($B708, $A$2, $B$2)"),"More than 30 days ago")</f>
        <v>More than 30 days ago</v>
      </c>
      <c r="D708" s="7" t="s">
        <v>1359</v>
      </c>
      <c r="E708" s="7" t="s">
        <v>480</v>
      </c>
      <c r="F708" s="7" t="s">
        <v>1360</v>
      </c>
      <c r="G708" s="7" t="s">
        <v>260</v>
      </c>
      <c r="H708" s="7" t="s">
        <v>261</v>
      </c>
      <c r="I708" s="7" t="s">
        <v>261</v>
      </c>
      <c r="J708" s="7" t="str">
        <f>IFERROR(__xludf.DUMMYFUNCTION("GOOGLETRANSLATE($I708, ""de"", ""en"")"),"NO SALARY DATA")</f>
        <v>NO SALARY DATA</v>
      </c>
      <c r="K708" s="7" t="s">
        <v>261</v>
      </c>
      <c r="L708" s="7" t="s">
        <v>649</v>
      </c>
      <c r="M708" s="7" t="s">
        <v>263</v>
      </c>
      <c r="N708" s="7" t="s">
        <v>260</v>
      </c>
      <c r="O708" s="7"/>
      <c r="P708" s="37"/>
      <c r="Q708" s="7"/>
    </row>
    <row r="709">
      <c r="A709" s="7">
        <v>704.0</v>
      </c>
      <c r="B709" s="7" t="s">
        <v>533</v>
      </c>
      <c r="C709" s="7" t="str">
        <f>IFERROR(__xludf.DUMMYFUNCTION("GOOGLETRANSLATE($B709, $A$2, $B$2)"),"11 days ago")</f>
        <v>11 days ago</v>
      </c>
      <c r="D709" s="7" t="s">
        <v>791</v>
      </c>
      <c r="E709" s="7" t="s">
        <v>1661</v>
      </c>
      <c r="F709" s="7" t="s">
        <v>1662</v>
      </c>
      <c r="G709" s="7" t="s">
        <v>260</v>
      </c>
      <c r="H709" s="7" t="s">
        <v>261</v>
      </c>
      <c r="I709" s="7" t="s">
        <v>261</v>
      </c>
      <c r="J709" s="7" t="str">
        <f>IFERROR(__xludf.DUMMYFUNCTION("GOOGLETRANSLATE($I709, ""de"", ""en"")"),"NO SALARY DATA")</f>
        <v>NO SALARY DATA</v>
      </c>
      <c r="K709" s="7" t="s">
        <v>261</v>
      </c>
      <c r="L709" s="7"/>
      <c r="M709" s="7" t="s">
        <v>263</v>
      </c>
      <c r="N709" s="7" t="s">
        <v>260</v>
      </c>
      <c r="O709" s="7"/>
      <c r="P709" s="35"/>
      <c r="Q709" s="7"/>
    </row>
    <row r="710">
      <c r="A710" s="7">
        <v>705.0</v>
      </c>
      <c r="B710" s="7" t="s">
        <v>265</v>
      </c>
      <c r="C710" s="7" t="str">
        <f>IFERROR(__xludf.DUMMYFUNCTION("GOOGLETRANSLATE($B710, $A$2, $B$2)"),"More than 30 days ago")</f>
        <v>More than 30 days ago</v>
      </c>
      <c r="D710" s="7" t="s">
        <v>1663</v>
      </c>
      <c r="E710" s="7" t="s">
        <v>401</v>
      </c>
      <c r="F710" s="7" t="s">
        <v>1168</v>
      </c>
      <c r="G710" s="7" t="s">
        <v>260</v>
      </c>
      <c r="H710" s="7" t="s">
        <v>261</v>
      </c>
      <c r="I710" s="7" t="s">
        <v>261</v>
      </c>
      <c r="J710" s="7" t="str">
        <f>IFERROR(__xludf.DUMMYFUNCTION("GOOGLETRANSLATE($I710, ""de"", ""en"")"),"NO SALARY DATA")</f>
        <v>NO SALARY DATA</v>
      </c>
      <c r="K710" s="7" t="s">
        <v>261</v>
      </c>
      <c r="L710" s="7"/>
      <c r="M710" s="7" t="s">
        <v>263</v>
      </c>
      <c r="N710" s="7" t="s">
        <v>1169</v>
      </c>
      <c r="O710" s="7"/>
      <c r="P710" s="35"/>
      <c r="Q710" s="7"/>
    </row>
    <row r="711">
      <c r="A711" s="7">
        <v>706.0</v>
      </c>
      <c r="B711" s="7" t="s">
        <v>265</v>
      </c>
      <c r="C711" s="7" t="str">
        <f>IFERROR(__xludf.DUMMYFUNCTION("GOOGLETRANSLATE($B711, $A$2, $B$2)"),"More than 30 days ago")</f>
        <v>More than 30 days ago</v>
      </c>
      <c r="D711" s="7" t="s">
        <v>1664</v>
      </c>
      <c r="E711" s="7" t="s">
        <v>348</v>
      </c>
      <c r="F711" s="7" t="s">
        <v>1665</v>
      </c>
      <c r="G711" s="7" t="s">
        <v>260</v>
      </c>
      <c r="H711" s="7" t="s">
        <v>261</v>
      </c>
      <c r="I711" s="7" t="s">
        <v>261</v>
      </c>
      <c r="J711" s="7" t="str">
        <f>IFERROR(__xludf.DUMMYFUNCTION("GOOGLETRANSLATE($I711, ""de"", ""en"")"),"NO SALARY DATA")</f>
        <v>NO SALARY DATA</v>
      </c>
      <c r="K711" s="7" t="s">
        <v>261</v>
      </c>
      <c r="L711" s="7" t="s">
        <v>312</v>
      </c>
      <c r="M711" s="7" t="s">
        <v>263</v>
      </c>
      <c r="N711" s="7" t="s">
        <v>491</v>
      </c>
      <c r="O711" s="7"/>
      <c r="P711" s="37"/>
      <c r="Q711" s="7"/>
    </row>
    <row r="712">
      <c r="A712" s="7">
        <v>707.0</v>
      </c>
      <c r="B712" s="7" t="s">
        <v>341</v>
      </c>
      <c r="C712" s="7" t="str">
        <f>IFERROR(__xludf.DUMMYFUNCTION("GOOGLETRANSLATE($B712, $A$2, $B$2)"),"before 14 days")</f>
        <v>before 14 days</v>
      </c>
      <c r="D712" s="7" t="s">
        <v>1666</v>
      </c>
      <c r="E712" s="7" t="s">
        <v>1667</v>
      </c>
      <c r="F712" s="7" t="s">
        <v>1668</v>
      </c>
      <c r="G712" s="7" t="s">
        <v>260</v>
      </c>
      <c r="H712" s="7" t="s">
        <v>261</v>
      </c>
      <c r="I712" s="7" t="s">
        <v>261</v>
      </c>
      <c r="J712" s="7" t="str">
        <f>IFERROR(__xludf.DUMMYFUNCTION("GOOGLETRANSLATE($I712, ""de"", ""en"")"),"NO SALARY DATA")</f>
        <v>NO SALARY DATA</v>
      </c>
      <c r="K712" s="7" t="s">
        <v>261</v>
      </c>
      <c r="L712" s="7"/>
      <c r="M712" s="7" t="s">
        <v>263</v>
      </c>
      <c r="N712" s="7" t="s">
        <v>260</v>
      </c>
      <c r="O712" s="7"/>
      <c r="P712" s="37"/>
      <c r="Q712" s="7"/>
    </row>
    <row r="713">
      <c r="A713" s="7">
        <v>708.0</v>
      </c>
      <c r="B713" s="7" t="s">
        <v>265</v>
      </c>
      <c r="C713" s="7" t="str">
        <f>IFERROR(__xludf.DUMMYFUNCTION("GOOGLETRANSLATE($B713, $A$2, $B$2)"),"More than 30 days ago")</f>
        <v>More than 30 days ago</v>
      </c>
      <c r="D713" s="7" t="s">
        <v>1669</v>
      </c>
      <c r="E713" s="7" t="s">
        <v>480</v>
      </c>
      <c r="F713" s="7" t="s">
        <v>1293</v>
      </c>
      <c r="G713" s="7" t="s">
        <v>260</v>
      </c>
      <c r="H713" s="7" t="s">
        <v>261</v>
      </c>
      <c r="I713" s="7" t="s">
        <v>261</v>
      </c>
      <c r="J713" s="7" t="str">
        <f>IFERROR(__xludf.DUMMYFUNCTION("GOOGLETRANSLATE($I713, ""de"", ""en"")"),"NO SALARY DATA")</f>
        <v>NO SALARY DATA</v>
      </c>
      <c r="K713" s="7" t="s">
        <v>261</v>
      </c>
      <c r="L713" s="7"/>
      <c r="M713" s="7" t="s">
        <v>263</v>
      </c>
      <c r="N713" s="7" t="s">
        <v>260</v>
      </c>
      <c r="O713" s="7"/>
      <c r="P713" s="35"/>
      <c r="Q713" s="7"/>
    </row>
    <row r="714">
      <c r="A714" s="7">
        <v>709.0</v>
      </c>
      <c r="B714" s="7" t="s">
        <v>265</v>
      </c>
      <c r="C714" s="7" t="str">
        <f>IFERROR(__xludf.DUMMYFUNCTION("GOOGLETRANSLATE($B714, $A$2, $B$2)"),"More than 30 days ago")</f>
        <v>More than 30 days ago</v>
      </c>
      <c r="D714" s="7" t="s">
        <v>1670</v>
      </c>
      <c r="E714" s="7" t="s">
        <v>1671</v>
      </c>
      <c r="F714" s="7" t="s">
        <v>466</v>
      </c>
      <c r="G714" s="7" t="s">
        <v>260</v>
      </c>
      <c r="H714" s="7" t="s">
        <v>261</v>
      </c>
      <c r="I714" s="7" t="s">
        <v>261</v>
      </c>
      <c r="J714" s="7" t="str">
        <f>IFERROR(__xludf.DUMMYFUNCTION("GOOGLETRANSLATE($I714, ""de"", ""en"")"),"NO SALARY DATA")</f>
        <v>NO SALARY DATA</v>
      </c>
      <c r="K714" s="7" t="s">
        <v>261</v>
      </c>
      <c r="L714" s="7" t="s">
        <v>1487</v>
      </c>
      <c r="M714" s="7" t="s">
        <v>263</v>
      </c>
      <c r="N714" s="7" t="s">
        <v>336</v>
      </c>
      <c r="O714" s="7"/>
      <c r="P714" s="37"/>
      <c r="Q714" s="7"/>
    </row>
    <row r="715">
      <c r="A715" s="7">
        <v>710.0</v>
      </c>
      <c r="B715" s="7" t="s">
        <v>265</v>
      </c>
      <c r="C715" s="7" t="str">
        <f>IFERROR(__xludf.DUMMYFUNCTION("GOOGLETRANSLATE($B715, $A$2, $B$2)"),"More than 30 days ago")</f>
        <v>More than 30 days ago</v>
      </c>
      <c r="D715" s="7" t="s">
        <v>1672</v>
      </c>
      <c r="E715" s="7" t="s">
        <v>1111</v>
      </c>
      <c r="F715" s="7" t="s">
        <v>1673</v>
      </c>
      <c r="G715" s="7" t="s">
        <v>260</v>
      </c>
      <c r="H715" s="7" t="s">
        <v>261</v>
      </c>
      <c r="I715" s="7" t="s">
        <v>261</v>
      </c>
      <c r="J715" s="7" t="str">
        <f>IFERROR(__xludf.DUMMYFUNCTION("GOOGLETRANSLATE($I715, ""de"", ""en"")"),"NO SALARY DATA")</f>
        <v>NO SALARY DATA</v>
      </c>
      <c r="K715" s="7" t="s">
        <v>261</v>
      </c>
      <c r="L715" s="7" t="s">
        <v>838</v>
      </c>
      <c r="M715" s="7" t="s">
        <v>263</v>
      </c>
      <c r="N715" s="7" t="s">
        <v>260</v>
      </c>
      <c r="O715" s="7"/>
      <c r="P715" s="37"/>
      <c r="Q715" s="7"/>
    </row>
    <row r="716">
      <c r="A716" s="7">
        <v>711.0</v>
      </c>
      <c r="B716" s="7" t="s">
        <v>265</v>
      </c>
      <c r="C716" s="7" t="str">
        <f>IFERROR(__xludf.DUMMYFUNCTION("GOOGLETRANSLATE($B716, $A$2, $B$2)"),"More than 30 days ago")</f>
        <v>More than 30 days ago</v>
      </c>
      <c r="D716" s="7" t="s">
        <v>1674</v>
      </c>
      <c r="E716" s="7" t="s">
        <v>258</v>
      </c>
      <c r="F716" s="7" t="s">
        <v>496</v>
      </c>
      <c r="G716" s="7" t="s">
        <v>260</v>
      </c>
      <c r="H716" s="7" t="s">
        <v>261</v>
      </c>
      <c r="I716" s="7" t="s">
        <v>261</v>
      </c>
      <c r="J716" s="7" t="str">
        <f>IFERROR(__xludf.DUMMYFUNCTION("GOOGLETRANSLATE($I716, ""de"", ""en"")"),"NO SALARY DATA")</f>
        <v>NO SALARY DATA</v>
      </c>
      <c r="K716" s="7" t="s">
        <v>261</v>
      </c>
      <c r="L716" s="7" t="s">
        <v>838</v>
      </c>
      <c r="M716" s="7" t="s">
        <v>263</v>
      </c>
      <c r="N716" s="7" t="s">
        <v>260</v>
      </c>
      <c r="O716" s="7"/>
      <c r="P716" s="37"/>
      <c r="Q716" s="7"/>
    </row>
    <row r="717">
      <c r="A717" s="7">
        <v>712.0</v>
      </c>
      <c r="B717" s="7" t="s">
        <v>332</v>
      </c>
      <c r="C717" s="7" t="str">
        <f>IFERROR(__xludf.DUMMYFUNCTION("GOOGLETRANSLATE($B717, $A$2, $B$2)"),"4 days ago")</f>
        <v>4 days ago</v>
      </c>
      <c r="D717" s="7" t="s">
        <v>1675</v>
      </c>
      <c r="E717" s="7" t="s">
        <v>280</v>
      </c>
      <c r="F717" s="7" t="s">
        <v>1676</v>
      </c>
      <c r="G717" s="7" t="s">
        <v>260</v>
      </c>
      <c r="H717" s="7" t="s">
        <v>261</v>
      </c>
      <c r="I717" s="7" t="s">
        <v>261</v>
      </c>
      <c r="J717" s="7" t="str">
        <f>IFERROR(__xludf.DUMMYFUNCTION("GOOGLETRANSLATE($I717, ""de"", ""en"")"),"NO SALARY DATA")</f>
        <v>NO SALARY DATA</v>
      </c>
      <c r="K717" s="7" t="s">
        <v>261</v>
      </c>
      <c r="L717" s="7" t="s">
        <v>777</v>
      </c>
      <c r="M717" s="7" t="s">
        <v>673</v>
      </c>
      <c r="N717" s="7" t="s">
        <v>260</v>
      </c>
      <c r="O717" s="7"/>
      <c r="P717" s="35"/>
      <c r="Q717" s="7"/>
    </row>
    <row r="718">
      <c r="A718" s="7">
        <v>713.0</v>
      </c>
      <c r="B718" s="7" t="s">
        <v>288</v>
      </c>
      <c r="C718" s="7" t="str">
        <f>IFERROR(__xludf.DUMMYFUNCTION("GOOGLETRANSLATE($B718, $A$2, $B$2)"),"2 days ago")</f>
        <v>2 days ago</v>
      </c>
      <c r="D718" s="7" t="s">
        <v>614</v>
      </c>
      <c r="E718" s="7" t="s">
        <v>405</v>
      </c>
      <c r="F718" s="7" t="s">
        <v>406</v>
      </c>
      <c r="G718" s="7" t="s">
        <v>260</v>
      </c>
      <c r="H718" s="7" t="s">
        <v>261</v>
      </c>
      <c r="I718" s="7" t="s">
        <v>261</v>
      </c>
      <c r="J718" s="7" t="str">
        <f>IFERROR(__xludf.DUMMYFUNCTION("GOOGLETRANSLATE($I718, ""de"", ""en"")"),"NO SALARY DATA")</f>
        <v>NO SALARY DATA</v>
      </c>
      <c r="K718" s="7" t="s">
        <v>261</v>
      </c>
      <c r="L718" s="7" t="s">
        <v>321</v>
      </c>
      <c r="M718" s="7" t="s">
        <v>322</v>
      </c>
      <c r="N718" s="7" t="s">
        <v>275</v>
      </c>
      <c r="O718" s="7"/>
      <c r="P718" s="37"/>
      <c r="Q718" s="7"/>
    </row>
    <row r="719">
      <c r="A719" s="7">
        <v>714.0</v>
      </c>
      <c r="B719" s="7" t="s">
        <v>508</v>
      </c>
      <c r="C719" s="7" t="str">
        <f>IFERROR(__xludf.DUMMYFUNCTION("GOOGLETRANSLATE($B719, $A$2, $B$2)"),"24 days ago")</f>
        <v>24 days ago</v>
      </c>
      <c r="D719" s="7" t="s">
        <v>1677</v>
      </c>
      <c r="E719" s="7" t="s">
        <v>280</v>
      </c>
      <c r="F719" s="7" t="s">
        <v>1452</v>
      </c>
      <c r="G719" s="7" t="s">
        <v>260</v>
      </c>
      <c r="H719" s="7" t="s">
        <v>261</v>
      </c>
      <c r="I719" s="7" t="s">
        <v>261</v>
      </c>
      <c r="J719" s="7" t="str">
        <f>IFERROR(__xludf.DUMMYFUNCTION("GOOGLETRANSLATE($I719, ""de"", ""en"")"),"NO SALARY DATA")</f>
        <v>NO SALARY DATA</v>
      </c>
      <c r="K719" s="7" t="s">
        <v>261</v>
      </c>
      <c r="L719" s="7" t="s">
        <v>1678</v>
      </c>
      <c r="M719" s="7" t="s">
        <v>263</v>
      </c>
      <c r="N719" s="7" t="s">
        <v>260</v>
      </c>
      <c r="O719" s="7"/>
      <c r="P719" s="35"/>
      <c r="Q719" s="7"/>
    </row>
    <row r="720">
      <c r="A720" s="7">
        <v>715.0</v>
      </c>
      <c r="B720" s="7" t="s">
        <v>265</v>
      </c>
      <c r="C720" s="7" t="str">
        <f>IFERROR(__xludf.DUMMYFUNCTION("GOOGLETRANSLATE($B720, $A$2, $B$2)"),"More than 30 days ago")</f>
        <v>More than 30 days ago</v>
      </c>
      <c r="D720" s="7" t="s">
        <v>1679</v>
      </c>
      <c r="E720" s="7" t="s">
        <v>343</v>
      </c>
      <c r="F720" s="7" t="s">
        <v>506</v>
      </c>
      <c r="G720" s="7" t="s">
        <v>810</v>
      </c>
      <c r="H720" s="7">
        <v>3068.0</v>
      </c>
      <c r="I720" s="7" t="s">
        <v>811</v>
      </c>
      <c r="J720" s="7" t="str">
        <f>IFERROR(__xludf.DUMMYFUNCTION("GOOGLETRANSLATE($I720, ""de"", ""en"")"),"month")</f>
        <v>month</v>
      </c>
      <c r="K720" s="7">
        <v>36816.0</v>
      </c>
      <c r="L720" s="7"/>
      <c r="M720" s="7" t="s">
        <v>263</v>
      </c>
      <c r="N720" s="7" t="s">
        <v>507</v>
      </c>
      <c r="O720" s="7"/>
      <c r="P720" s="35"/>
      <c r="Q720" s="7"/>
    </row>
    <row r="721">
      <c r="A721" s="7">
        <v>716.0</v>
      </c>
      <c r="B721" s="7" t="s">
        <v>508</v>
      </c>
      <c r="C721" s="7" t="str">
        <f>IFERROR(__xludf.DUMMYFUNCTION("GOOGLETRANSLATE($B721, $A$2, $B$2)"),"24 days ago")</f>
        <v>24 days ago</v>
      </c>
      <c r="D721" s="7" t="s">
        <v>1299</v>
      </c>
      <c r="E721" s="7" t="s">
        <v>1300</v>
      </c>
      <c r="F721" s="7" t="s">
        <v>1301</v>
      </c>
      <c r="G721" s="7" t="s">
        <v>260</v>
      </c>
      <c r="H721" s="7" t="s">
        <v>261</v>
      </c>
      <c r="I721" s="7" t="s">
        <v>261</v>
      </c>
      <c r="J721" s="7" t="str">
        <f>IFERROR(__xludf.DUMMYFUNCTION("GOOGLETRANSLATE($I721, ""de"", ""en"")"),"NO SALARY DATA")</f>
        <v>NO SALARY DATA</v>
      </c>
      <c r="K721" s="7" t="s">
        <v>261</v>
      </c>
      <c r="L721" s="7" t="s">
        <v>312</v>
      </c>
      <c r="M721" s="7" t="s">
        <v>263</v>
      </c>
      <c r="N721" s="7" t="s">
        <v>323</v>
      </c>
      <c r="O721" s="7"/>
      <c r="P721" s="35"/>
      <c r="Q721" s="7"/>
    </row>
    <row r="722">
      <c r="A722" s="7">
        <v>717.0</v>
      </c>
      <c r="B722" s="7" t="s">
        <v>508</v>
      </c>
      <c r="C722" s="7" t="str">
        <f>IFERROR(__xludf.DUMMYFUNCTION("GOOGLETRANSLATE($B722, $A$2, $B$2)"),"24 days ago")</f>
        <v>24 days ago</v>
      </c>
      <c r="D722" s="7" t="s">
        <v>1680</v>
      </c>
      <c r="E722" s="7" t="s">
        <v>1300</v>
      </c>
      <c r="F722" s="7" t="s">
        <v>1681</v>
      </c>
      <c r="G722" s="7" t="s">
        <v>260</v>
      </c>
      <c r="H722" s="7" t="s">
        <v>261</v>
      </c>
      <c r="I722" s="7" t="s">
        <v>261</v>
      </c>
      <c r="J722" s="7" t="str">
        <f>IFERROR(__xludf.DUMMYFUNCTION("GOOGLETRANSLATE($I722, ""de"", ""en"")"),"NO SALARY DATA")</f>
        <v>NO SALARY DATA</v>
      </c>
      <c r="K722" s="7" t="s">
        <v>261</v>
      </c>
      <c r="L722" s="7"/>
      <c r="M722" s="7" t="s">
        <v>263</v>
      </c>
      <c r="N722" s="7" t="s">
        <v>301</v>
      </c>
      <c r="O722" s="7"/>
      <c r="P722" s="37"/>
      <c r="Q722" s="7"/>
    </row>
    <row r="723">
      <c r="A723" s="7">
        <v>718.0</v>
      </c>
      <c r="B723" s="7" t="s">
        <v>332</v>
      </c>
      <c r="C723" s="7" t="str">
        <f>IFERROR(__xludf.DUMMYFUNCTION("GOOGLETRANSLATE($B723, $A$2, $B$2)"),"4 days ago")</f>
        <v>4 days ago</v>
      </c>
      <c r="D723" s="7" t="s">
        <v>1682</v>
      </c>
      <c r="E723" s="7" t="s">
        <v>258</v>
      </c>
      <c r="F723" s="7" t="s">
        <v>1683</v>
      </c>
      <c r="G723" s="7" t="s">
        <v>260</v>
      </c>
      <c r="H723" s="7" t="s">
        <v>261</v>
      </c>
      <c r="I723" s="7" t="s">
        <v>261</v>
      </c>
      <c r="J723" s="7" t="str">
        <f>IFERROR(__xludf.DUMMYFUNCTION("GOOGLETRANSLATE($I723, ""de"", ""en"")"),"NO SALARY DATA")</f>
        <v>NO SALARY DATA</v>
      </c>
      <c r="K723" s="7" t="s">
        <v>261</v>
      </c>
      <c r="L723" s="7"/>
      <c r="M723" s="7" t="s">
        <v>263</v>
      </c>
      <c r="N723" s="7" t="s">
        <v>260</v>
      </c>
      <c r="O723" s="7"/>
      <c r="P723" s="35"/>
      <c r="Q723" s="7"/>
    </row>
    <row r="724">
      <c r="A724" s="7">
        <v>719.0</v>
      </c>
      <c r="B724" s="7" t="s">
        <v>332</v>
      </c>
      <c r="C724" s="7" t="str">
        <f>IFERROR(__xludf.DUMMYFUNCTION("GOOGLETRANSLATE($B724, $A$2, $B$2)"),"4 days ago")</f>
        <v>4 days ago</v>
      </c>
      <c r="D724" s="7" t="s">
        <v>1684</v>
      </c>
      <c r="E724" s="7" t="s">
        <v>1685</v>
      </c>
      <c r="F724" s="7" t="s">
        <v>1686</v>
      </c>
      <c r="G724" s="7" t="s">
        <v>1687</v>
      </c>
      <c r="H724" s="7">
        <v>63484.0</v>
      </c>
      <c r="I724" s="7" t="s">
        <v>384</v>
      </c>
      <c r="J724" s="7" t="str">
        <f>IFERROR(__xludf.DUMMYFUNCTION("GOOGLETRANSLATE($I724, ""de"", ""en"")"),"year")</f>
        <v>year</v>
      </c>
      <c r="K724" s="7">
        <v>63484.0</v>
      </c>
      <c r="L724" s="7"/>
      <c r="M724" s="7" t="s">
        <v>452</v>
      </c>
      <c r="N724" s="7" t="s">
        <v>336</v>
      </c>
      <c r="O724" s="7"/>
      <c r="P724" s="37"/>
      <c r="Q724" s="7"/>
    </row>
    <row r="725">
      <c r="A725" s="7">
        <v>720.0</v>
      </c>
      <c r="B725" s="7" t="s">
        <v>265</v>
      </c>
      <c r="C725" s="7" t="str">
        <f>IFERROR(__xludf.DUMMYFUNCTION("GOOGLETRANSLATE($B725, $A$2, $B$2)"),"More than 30 days ago")</f>
        <v>More than 30 days ago</v>
      </c>
      <c r="D725" s="7" t="s">
        <v>1688</v>
      </c>
      <c r="E725" s="7" t="s">
        <v>258</v>
      </c>
      <c r="F725" s="7" t="s">
        <v>1689</v>
      </c>
      <c r="G725" s="7" t="s">
        <v>1690</v>
      </c>
      <c r="H725" s="7">
        <v>45000.0</v>
      </c>
      <c r="I725" s="7" t="s">
        <v>384</v>
      </c>
      <c r="J725" s="7" t="str">
        <f>IFERROR(__xludf.DUMMYFUNCTION("GOOGLETRANSLATE($I725, ""de"", ""en"")"),"year")</f>
        <v>year</v>
      </c>
      <c r="K725" s="7">
        <v>45000.0</v>
      </c>
      <c r="L725" s="7" t="s">
        <v>711</v>
      </c>
      <c r="M725" s="7" t="s">
        <v>263</v>
      </c>
      <c r="N725" s="7" t="s">
        <v>260</v>
      </c>
      <c r="O725" s="7"/>
      <c r="P725" s="35"/>
      <c r="Q725" s="7"/>
    </row>
    <row r="726">
      <c r="A726" s="7">
        <v>721.0</v>
      </c>
      <c r="B726" s="7" t="s">
        <v>265</v>
      </c>
      <c r="C726" s="7" t="str">
        <f>IFERROR(__xludf.DUMMYFUNCTION("GOOGLETRANSLATE($B726, $A$2, $B$2)"),"More than 30 days ago")</f>
        <v>More than 30 days ago</v>
      </c>
      <c r="D726" s="7" t="s">
        <v>1691</v>
      </c>
      <c r="E726" s="7" t="s">
        <v>271</v>
      </c>
      <c r="F726" s="7" t="s">
        <v>221</v>
      </c>
      <c r="G726" s="7" t="s">
        <v>260</v>
      </c>
      <c r="H726" s="7" t="s">
        <v>261</v>
      </c>
      <c r="I726" s="7" t="s">
        <v>261</v>
      </c>
      <c r="J726" s="7" t="str">
        <f>IFERROR(__xludf.DUMMYFUNCTION("GOOGLETRANSLATE($I726, ""de"", ""en"")"),"NO SALARY DATA")</f>
        <v>NO SALARY DATA</v>
      </c>
      <c r="K726" s="7" t="s">
        <v>261</v>
      </c>
      <c r="L726" s="7" t="s">
        <v>806</v>
      </c>
      <c r="M726" s="7" t="s">
        <v>263</v>
      </c>
      <c r="N726" s="7" t="s">
        <v>336</v>
      </c>
      <c r="O726" s="7"/>
      <c r="P726" s="35"/>
      <c r="Q726" s="7"/>
    </row>
    <row r="727">
      <c r="A727" s="7">
        <v>722.0</v>
      </c>
      <c r="B727" s="7" t="s">
        <v>265</v>
      </c>
      <c r="C727" s="7" t="str">
        <f>IFERROR(__xludf.DUMMYFUNCTION("GOOGLETRANSLATE($B727, $A$2, $B$2)"),"More than 30 days ago")</f>
        <v>More than 30 days ago</v>
      </c>
      <c r="D727" s="7" t="s">
        <v>1692</v>
      </c>
      <c r="E727" s="7" t="s">
        <v>488</v>
      </c>
      <c r="F727" s="7" t="s">
        <v>1693</v>
      </c>
      <c r="G727" s="7" t="s">
        <v>260</v>
      </c>
      <c r="H727" s="7" t="s">
        <v>261</v>
      </c>
      <c r="I727" s="7" t="s">
        <v>261</v>
      </c>
      <c r="J727" s="7" t="str">
        <f>IFERROR(__xludf.DUMMYFUNCTION("GOOGLETRANSLATE($I727, ""de"", ""en"")"),"NO SALARY DATA")</f>
        <v>NO SALARY DATA</v>
      </c>
      <c r="K727" s="7" t="s">
        <v>261</v>
      </c>
      <c r="L727" s="7" t="s">
        <v>649</v>
      </c>
      <c r="M727" s="7" t="s">
        <v>263</v>
      </c>
      <c r="N727" s="7" t="s">
        <v>275</v>
      </c>
      <c r="O727" s="7"/>
      <c r="P727" s="35"/>
      <c r="Q727" s="7"/>
    </row>
    <row r="728">
      <c r="A728" s="7">
        <v>723.0</v>
      </c>
      <c r="B728" s="7" t="s">
        <v>269</v>
      </c>
      <c r="C728" s="7" t="str">
        <f>IFERROR(__xludf.DUMMYFUNCTION("GOOGLETRANSLATE($B728, $A$2, $B$2)"),"5 days ago")</f>
        <v>5 days ago</v>
      </c>
      <c r="D728" s="7" t="s">
        <v>1694</v>
      </c>
      <c r="E728" s="7" t="s">
        <v>480</v>
      </c>
      <c r="F728" s="7" t="s">
        <v>727</v>
      </c>
      <c r="G728" s="7" t="s">
        <v>260</v>
      </c>
      <c r="H728" s="7" t="s">
        <v>261</v>
      </c>
      <c r="I728" s="7" t="s">
        <v>261</v>
      </c>
      <c r="J728" s="7" t="str">
        <f>IFERROR(__xludf.DUMMYFUNCTION("GOOGLETRANSLATE($I728, ""de"", ""en"")"),"NO SALARY DATA")</f>
        <v>NO SALARY DATA</v>
      </c>
      <c r="K728" s="7" t="s">
        <v>261</v>
      </c>
      <c r="L728" s="7" t="s">
        <v>649</v>
      </c>
      <c r="M728" s="7" t="s">
        <v>263</v>
      </c>
      <c r="N728" s="7" t="s">
        <v>275</v>
      </c>
      <c r="O728" s="7"/>
      <c r="P728" s="37"/>
      <c r="Q728" s="7"/>
    </row>
    <row r="729">
      <c r="A729" s="7">
        <v>724.0</v>
      </c>
      <c r="B729" s="7" t="s">
        <v>375</v>
      </c>
      <c r="C729" s="7" t="str">
        <f>IFERROR(__xludf.DUMMYFUNCTION("GOOGLETRANSLATE($B729, $A$2, $B$2)"),"6 days ago")</f>
        <v>6 days ago</v>
      </c>
      <c r="D729" s="7" t="s">
        <v>1695</v>
      </c>
      <c r="E729" s="7" t="s">
        <v>271</v>
      </c>
      <c r="F729" s="7" t="s">
        <v>1696</v>
      </c>
      <c r="G729" s="7" t="s">
        <v>260</v>
      </c>
      <c r="H729" s="7" t="s">
        <v>261</v>
      </c>
      <c r="I729" s="7" t="s">
        <v>261</v>
      </c>
      <c r="J729" s="7" t="str">
        <f>IFERROR(__xludf.DUMMYFUNCTION("GOOGLETRANSLATE($I729, ""de"", ""en"")"),"NO SALARY DATA")</f>
        <v>NO SALARY DATA</v>
      </c>
      <c r="K729" s="7" t="s">
        <v>261</v>
      </c>
      <c r="L729" s="7" t="s">
        <v>627</v>
      </c>
      <c r="M729" s="7" t="s">
        <v>452</v>
      </c>
      <c r="N729" s="7" t="s">
        <v>260</v>
      </c>
      <c r="O729" s="7"/>
      <c r="P729" s="37"/>
      <c r="Q729" s="7"/>
    </row>
    <row r="730">
      <c r="A730" s="7">
        <v>725.0</v>
      </c>
      <c r="B730" s="7" t="s">
        <v>265</v>
      </c>
      <c r="C730" s="7" t="str">
        <f>IFERROR(__xludf.DUMMYFUNCTION("GOOGLETRANSLATE($B730, $A$2, $B$2)"),"More than 30 days ago")</f>
        <v>More than 30 days ago</v>
      </c>
      <c r="D730" s="7" t="s">
        <v>306</v>
      </c>
      <c r="E730" s="7" t="s">
        <v>307</v>
      </c>
      <c r="F730" s="7" t="s">
        <v>308</v>
      </c>
      <c r="G730" s="7" t="s">
        <v>260</v>
      </c>
      <c r="H730" s="7" t="s">
        <v>261</v>
      </c>
      <c r="I730" s="7" t="s">
        <v>261</v>
      </c>
      <c r="J730" s="7" t="str">
        <f>IFERROR(__xludf.DUMMYFUNCTION("GOOGLETRANSLATE($I730, ""de"", ""en"")"),"NO SALARY DATA")</f>
        <v>NO SALARY DATA</v>
      </c>
      <c r="K730" s="7" t="s">
        <v>261</v>
      </c>
      <c r="L730" s="7" t="s">
        <v>309</v>
      </c>
      <c r="M730" s="7" t="s">
        <v>263</v>
      </c>
      <c r="N730" s="7" t="s">
        <v>260</v>
      </c>
      <c r="O730" s="7"/>
      <c r="P730" s="37"/>
      <c r="Q730" s="7"/>
    </row>
    <row r="731">
      <c r="A731" s="7">
        <v>726.0</v>
      </c>
      <c r="B731" s="7" t="s">
        <v>265</v>
      </c>
      <c r="C731" s="7" t="str">
        <f>IFERROR(__xludf.DUMMYFUNCTION("GOOGLETRANSLATE($B731, $A$2, $B$2)"),"More than 30 days ago")</f>
        <v>More than 30 days ago</v>
      </c>
      <c r="D731" s="7" t="s">
        <v>1544</v>
      </c>
      <c r="E731" s="7" t="s">
        <v>343</v>
      </c>
      <c r="F731" s="7" t="s">
        <v>1545</v>
      </c>
      <c r="G731" s="7" t="s">
        <v>260</v>
      </c>
      <c r="H731" s="7" t="s">
        <v>261</v>
      </c>
      <c r="I731" s="7" t="s">
        <v>261</v>
      </c>
      <c r="J731" s="7" t="str">
        <f>IFERROR(__xludf.DUMMYFUNCTION("GOOGLETRANSLATE($I731, ""de"", ""en"")"),"NO SALARY DATA")</f>
        <v>NO SALARY DATA</v>
      </c>
      <c r="K731" s="7" t="s">
        <v>261</v>
      </c>
      <c r="L731" s="7" t="s">
        <v>490</v>
      </c>
      <c r="M731" s="7" t="s">
        <v>263</v>
      </c>
      <c r="N731" s="7" t="s">
        <v>260</v>
      </c>
      <c r="O731" s="7"/>
      <c r="P731" s="35"/>
      <c r="Q731" s="7"/>
    </row>
    <row r="732">
      <c r="A732" s="7">
        <v>727.0</v>
      </c>
      <c r="B732" s="7" t="s">
        <v>442</v>
      </c>
      <c r="C732" s="7" t="str">
        <f>IFERROR(__xludf.DUMMYFUNCTION("GOOGLETRANSLATE($B732, $A$2, $B$2)"),"26 days ago")</f>
        <v>26 days ago</v>
      </c>
      <c r="D732" s="7" t="s">
        <v>1697</v>
      </c>
      <c r="E732" s="7" t="s">
        <v>271</v>
      </c>
      <c r="F732" s="7" t="s">
        <v>904</v>
      </c>
      <c r="G732" s="7" t="s">
        <v>260</v>
      </c>
      <c r="H732" s="7" t="s">
        <v>261</v>
      </c>
      <c r="I732" s="7" t="s">
        <v>261</v>
      </c>
      <c r="J732" s="7" t="str">
        <f>IFERROR(__xludf.DUMMYFUNCTION("GOOGLETRANSLATE($I732, ""de"", ""en"")"),"NO SALARY DATA")</f>
        <v>NO SALARY DATA</v>
      </c>
      <c r="K732" s="7" t="s">
        <v>261</v>
      </c>
      <c r="L732" s="7" t="s">
        <v>500</v>
      </c>
      <c r="M732" s="7" t="s">
        <v>263</v>
      </c>
      <c r="N732" s="7" t="s">
        <v>336</v>
      </c>
      <c r="O732" s="7"/>
      <c r="P732" s="35"/>
      <c r="Q732" s="7"/>
    </row>
    <row r="733">
      <c r="A733" s="7">
        <v>728.0</v>
      </c>
      <c r="B733" s="7" t="s">
        <v>265</v>
      </c>
      <c r="C733" s="7" t="str">
        <f>IFERROR(__xludf.DUMMYFUNCTION("GOOGLETRANSLATE($B733, $A$2, $B$2)"),"More than 30 days ago")</f>
        <v>More than 30 days ago</v>
      </c>
      <c r="D733" s="7" t="s">
        <v>1698</v>
      </c>
      <c r="E733" s="7" t="s">
        <v>348</v>
      </c>
      <c r="F733" s="7" t="s">
        <v>828</v>
      </c>
      <c r="G733" s="7" t="s">
        <v>260</v>
      </c>
      <c r="H733" s="7" t="s">
        <v>261</v>
      </c>
      <c r="I733" s="7" t="s">
        <v>261</v>
      </c>
      <c r="J733" s="7" t="str">
        <f>IFERROR(__xludf.DUMMYFUNCTION("GOOGLETRANSLATE($I733, ""de"", ""en"")"),"NO SALARY DATA")</f>
        <v>NO SALARY DATA</v>
      </c>
      <c r="K733" s="7" t="s">
        <v>261</v>
      </c>
      <c r="L733" s="7" t="s">
        <v>777</v>
      </c>
      <c r="M733" s="7" t="s">
        <v>263</v>
      </c>
      <c r="N733" s="7" t="s">
        <v>434</v>
      </c>
      <c r="O733" s="7"/>
      <c r="P733" s="37"/>
      <c r="Q733" s="7"/>
    </row>
    <row r="734">
      <c r="A734" s="7">
        <v>729.0</v>
      </c>
      <c r="B734" s="7" t="s">
        <v>265</v>
      </c>
      <c r="C734" s="7" t="str">
        <f>IFERROR(__xludf.DUMMYFUNCTION("GOOGLETRANSLATE($B734, $A$2, $B$2)"),"More than 30 days ago")</f>
        <v>More than 30 days ago</v>
      </c>
      <c r="D734" s="7" t="s">
        <v>1699</v>
      </c>
      <c r="E734" s="7" t="s">
        <v>343</v>
      </c>
      <c r="F734" s="7" t="s">
        <v>1134</v>
      </c>
      <c r="G734" s="7" t="s">
        <v>260</v>
      </c>
      <c r="H734" s="7" t="s">
        <v>261</v>
      </c>
      <c r="I734" s="7" t="s">
        <v>261</v>
      </c>
      <c r="J734" s="7" t="str">
        <f>IFERROR(__xludf.DUMMYFUNCTION("GOOGLETRANSLATE($I734, ""de"", ""en"")"),"NO SALARY DATA")</f>
        <v>NO SALARY DATA</v>
      </c>
      <c r="K734" s="7" t="s">
        <v>261</v>
      </c>
      <c r="L734" s="7" t="s">
        <v>423</v>
      </c>
      <c r="M734" s="7" t="s">
        <v>263</v>
      </c>
      <c r="N734" s="7" t="s">
        <v>260</v>
      </c>
      <c r="O734" s="7"/>
      <c r="P734" s="37"/>
      <c r="Q734" s="7"/>
    </row>
    <row r="735">
      <c r="A735" s="7">
        <v>730.0</v>
      </c>
      <c r="B735" s="7" t="s">
        <v>265</v>
      </c>
      <c r="C735" s="7" t="str">
        <f>IFERROR(__xludf.DUMMYFUNCTION("GOOGLETRANSLATE($B735, $A$2, $B$2)"),"More than 30 days ago")</f>
        <v>More than 30 days ago</v>
      </c>
      <c r="D735" s="7" t="s">
        <v>276</v>
      </c>
      <c r="E735" s="7" t="s">
        <v>258</v>
      </c>
      <c r="F735" s="7" t="s">
        <v>1700</v>
      </c>
      <c r="G735" s="7" t="s">
        <v>260</v>
      </c>
      <c r="H735" s="7" t="s">
        <v>261</v>
      </c>
      <c r="I735" s="7" t="s">
        <v>261</v>
      </c>
      <c r="J735" s="7" t="str">
        <f>IFERROR(__xludf.DUMMYFUNCTION("GOOGLETRANSLATE($I735, ""de"", ""en"")"),"NO SALARY DATA")</f>
        <v>NO SALARY DATA</v>
      </c>
      <c r="K735" s="7" t="s">
        <v>261</v>
      </c>
      <c r="L735" s="7" t="s">
        <v>1215</v>
      </c>
      <c r="M735" s="7" t="s">
        <v>263</v>
      </c>
      <c r="N735" s="7" t="s">
        <v>260</v>
      </c>
      <c r="O735" s="7"/>
      <c r="P735" s="35"/>
      <c r="Q735" s="7"/>
    </row>
    <row r="736">
      <c r="A736" s="7">
        <v>731.0</v>
      </c>
      <c r="B736" s="7" t="s">
        <v>265</v>
      </c>
      <c r="C736" s="7" t="str">
        <f>IFERROR(__xludf.DUMMYFUNCTION("GOOGLETRANSLATE($B736, $A$2, $B$2)"),"More than 30 days ago")</f>
        <v>More than 30 days ago</v>
      </c>
      <c r="D736" s="7" t="s">
        <v>306</v>
      </c>
      <c r="E736" s="7" t="s">
        <v>1701</v>
      </c>
      <c r="F736" s="7" t="s">
        <v>1702</v>
      </c>
      <c r="G736" s="7" t="s">
        <v>260</v>
      </c>
      <c r="H736" s="7" t="s">
        <v>261</v>
      </c>
      <c r="I736" s="7" t="s">
        <v>261</v>
      </c>
      <c r="J736" s="7" t="str">
        <f>IFERROR(__xludf.DUMMYFUNCTION("GOOGLETRANSLATE($I736, ""de"", ""en"")"),"NO SALARY DATA")</f>
        <v>NO SALARY DATA</v>
      </c>
      <c r="K736" s="7" t="s">
        <v>261</v>
      </c>
      <c r="L736" s="7" t="s">
        <v>756</v>
      </c>
      <c r="M736" s="7" t="s">
        <v>263</v>
      </c>
      <c r="N736" s="7" t="s">
        <v>473</v>
      </c>
      <c r="O736" s="7"/>
      <c r="P736" s="37"/>
      <c r="Q736" s="7"/>
    </row>
    <row r="737">
      <c r="A737" s="7">
        <v>732.0</v>
      </c>
      <c r="B737" s="7" t="s">
        <v>265</v>
      </c>
      <c r="C737" s="7" t="str">
        <f>IFERROR(__xludf.DUMMYFUNCTION("GOOGLETRANSLATE($B737, $A$2, $B$2)"),"More than 30 days ago")</f>
        <v>More than 30 days ago</v>
      </c>
      <c r="D737" s="7" t="s">
        <v>1703</v>
      </c>
      <c r="E737" s="7" t="s">
        <v>271</v>
      </c>
      <c r="F737" s="7" t="s">
        <v>1704</v>
      </c>
      <c r="G737" s="7" t="s">
        <v>260</v>
      </c>
      <c r="H737" s="7" t="s">
        <v>261</v>
      </c>
      <c r="I737" s="7" t="s">
        <v>261</v>
      </c>
      <c r="J737" s="7" t="str">
        <f>IFERROR(__xludf.DUMMYFUNCTION("GOOGLETRANSLATE($I737, ""de"", ""en"")"),"NO SALARY DATA")</f>
        <v>NO SALARY DATA</v>
      </c>
      <c r="K737" s="7" t="s">
        <v>261</v>
      </c>
      <c r="L737" s="7" t="s">
        <v>843</v>
      </c>
      <c r="M737" s="7" t="s">
        <v>263</v>
      </c>
      <c r="N737" s="7" t="s">
        <v>260</v>
      </c>
      <c r="O737" s="7"/>
      <c r="P737" s="37"/>
      <c r="Q737" s="7"/>
    </row>
    <row r="738">
      <c r="A738" s="7">
        <v>733.0</v>
      </c>
      <c r="B738" s="7" t="s">
        <v>346</v>
      </c>
      <c r="C738" s="7" t="str">
        <f>IFERROR(__xludf.DUMMYFUNCTION("GOOGLETRANSLATE($B738, $A$2, $B$2)"),"12 days ago")</f>
        <v>12 days ago</v>
      </c>
      <c r="D738" s="7" t="s">
        <v>1705</v>
      </c>
      <c r="E738" s="7" t="s">
        <v>343</v>
      </c>
      <c r="F738" s="7" t="s">
        <v>1706</v>
      </c>
      <c r="G738" s="7" t="s">
        <v>260</v>
      </c>
      <c r="H738" s="7" t="s">
        <v>261</v>
      </c>
      <c r="I738" s="7" t="s">
        <v>261</v>
      </c>
      <c r="J738" s="7" t="str">
        <f>IFERROR(__xludf.DUMMYFUNCTION("GOOGLETRANSLATE($I738, ""de"", ""en"")"),"NO SALARY DATA")</f>
        <v>NO SALARY DATA</v>
      </c>
      <c r="K738" s="7" t="s">
        <v>261</v>
      </c>
      <c r="L738" s="7" t="s">
        <v>711</v>
      </c>
      <c r="M738" s="7" t="s">
        <v>673</v>
      </c>
      <c r="N738" s="7" t="s">
        <v>260</v>
      </c>
      <c r="O738" s="7"/>
      <c r="P738" s="37"/>
      <c r="Q738" s="7"/>
    </row>
    <row r="739">
      <c r="A739" s="7">
        <v>734.0</v>
      </c>
      <c r="B739" s="7" t="s">
        <v>265</v>
      </c>
      <c r="C739" s="7" t="str">
        <f>IFERROR(__xludf.DUMMYFUNCTION("GOOGLETRANSLATE($B739, $A$2, $B$2)"),"More than 30 days ago")</f>
        <v>More than 30 days ago</v>
      </c>
      <c r="D739" s="7" t="s">
        <v>1707</v>
      </c>
      <c r="E739" s="7" t="s">
        <v>343</v>
      </c>
      <c r="F739" s="7" t="s">
        <v>1708</v>
      </c>
      <c r="G739" s="7" t="s">
        <v>260</v>
      </c>
      <c r="H739" s="7" t="s">
        <v>261</v>
      </c>
      <c r="I739" s="7" t="s">
        <v>261</v>
      </c>
      <c r="J739" s="7" t="str">
        <f>IFERROR(__xludf.DUMMYFUNCTION("GOOGLETRANSLATE($I739, ""de"", ""en"")"),"NO SALARY DATA")</f>
        <v>NO SALARY DATA</v>
      </c>
      <c r="K739" s="7" t="s">
        <v>261</v>
      </c>
      <c r="L739" s="7" t="s">
        <v>756</v>
      </c>
      <c r="M739" s="7" t="s">
        <v>263</v>
      </c>
      <c r="N739" s="7" t="s">
        <v>260</v>
      </c>
      <c r="O739" s="7"/>
      <c r="P739" s="37"/>
      <c r="Q739" s="7"/>
    </row>
    <row r="740">
      <c r="A740" s="7">
        <v>735.0</v>
      </c>
      <c r="B740" s="7" t="s">
        <v>265</v>
      </c>
      <c r="C740" s="7" t="str">
        <f>IFERROR(__xludf.DUMMYFUNCTION("GOOGLETRANSLATE($B740, $A$2, $B$2)"),"More than 30 days ago")</f>
        <v>More than 30 days ago</v>
      </c>
      <c r="D740" s="7" t="s">
        <v>1638</v>
      </c>
      <c r="E740" s="7" t="s">
        <v>683</v>
      </c>
      <c r="F740" s="7" t="s">
        <v>1639</v>
      </c>
      <c r="G740" s="7" t="s">
        <v>260</v>
      </c>
      <c r="H740" s="7" t="s">
        <v>261</v>
      </c>
      <c r="I740" s="7" t="s">
        <v>261</v>
      </c>
      <c r="J740" s="7" t="str">
        <f>IFERROR(__xludf.DUMMYFUNCTION("GOOGLETRANSLATE($I740, ""de"", ""en"")"),"NO SALARY DATA")</f>
        <v>NO SALARY DATA</v>
      </c>
      <c r="K740" s="7" t="s">
        <v>261</v>
      </c>
      <c r="L740" s="7" t="s">
        <v>649</v>
      </c>
      <c r="M740" s="7" t="s">
        <v>263</v>
      </c>
      <c r="N740" s="7" t="s">
        <v>260</v>
      </c>
      <c r="O740" s="7"/>
      <c r="P740" s="35"/>
      <c r="Q740" s="7"/>
    </row>
    <row r="741">
      <c r="A741" s="7">
        <v>736.0</v>
      </c>
      <c r="B741" s="7" t="s">
        <v>559</v>
      </c>
      <c r="C741" s="7" t="str">
        <f>IFERROR(__xludf.DUMMYFUNCTION("GOOGLETRANSLATE($B741, $A$2, $B$2)"),"18 days ago")</f>
        <v>18 days ago</v>
      </c>
      <c r="D741" s="7" t="s">
        <v>1709</v>
      </c>
      <c r="E741" s="7" t="s">
        <v>480</v>
      </c>
      <c r="F741" s="7" t="s">
        <v>1710</v>
      </c>
      <c r="G741" s="7" t="s">
        <v>260</v>
      </c>
      <c r="H741" s="7" t="s">
        <v>261</v>
      </c>
      <c r="I741" s="7" t="s">
        <v>261</v>
      </c>
      <c r="J741" s="7" t="str">
        <f>IFERROR(__xludf.DUMMYFUNCTION("GOOGLETRANSLATE($I741, ""de"", ""en"")"),"NO SALARY DATA")</f>
        <v>NO SALARY DATA</v>
      </c>
      <c r="K741" s="7" t="s">
        <v>261</v>
      </c>
      <c r="L741" s="7" t="s">
        <v>433</v>
      </c>
      <c r="M741" s="7" t="s">
        <v>263</v>
      </c>
      <c r="N741" s="7" t="s">
        <v>275</v>
      </c>
      <c r="O741" s="7"/>
      <c r="P741" s="37"/>
      <c r="Q741" s="7"/>
    </row>
    <row r="742">
      <c r="A742" s="7">
        <v>737.0</v>
      </c>
      <c r="B742" s="7" t="s">
        <v>265</v>
      </c>
      <c r="C742" s="7" t="str">
        <f>IFERROR(__xludf.DUMMYFUNCTION("GOOGLETRANSLATE($B742, $A$2, $B$2)"),"More than 30 days ago")</f>
        <v>More than 30 days ago</v>
      </c>
      <c r="D742" s="7" t="s">
        <v>762</v>
      </c>
      <c r="E742" s="7" t="s">
        <v>408</v>
      </c>
      <c r="F742" s="7" t="s">
        <v>1711</v>
      </c>
      <c r="G742" s="7" t="s">
        <v>260</v>
      </c>
      <c r="H742" s="7" t="s">
        <v>261</v>
      </c>
      <c r="I742" s="7" t="s">
        <v>261</v>
      </c>
      <c r="J742" s="7" t="str">
        <f>IFERROR(__xludf.DUMMYFUNCTION("GOOGLETRANSLATE($I742, ""de"", ""en"")"),"NO SALARY DATA")</f>
        <v>NO SALARY DATA</v>
      </c>
      <c r="K742" s="7" t="s">
        <v>261</v>
      </c>
      <c r="L742" s="7" t="s">
        <v>278</v>
      </c>
      <c r="M742" s="7" t="s">
        <v>263</v>
      </c>
      <c r="N742" s="7" t="s">
        <v>260</v>
      </c>
      <c r="O742" s="7"/>
      <c r="P742" s="37"/>
      <c r="Q742" s="7"/>
    </row>
    <row r="743">
      <c r="A743" s="7">
        <v>738.0</v>
      </c>
      <c r="B743" s="7" t="s">
        <v>621</v>
      </c>
      <c r="C743" s="7" t="str">
        <f>IFERROR(__xludf.DUMMYFUNCTION("GOOGLETRANSLATE($B743, $A$2, $B$2)"),"20 days ago")</f>
        <v>20 days ago</v>
      </c>
      <c r="D743" s="7" t="s">
        <v>706</v>
      </c>
      <c r="E743" s="7" t="s">
        <v>866</v>
      </c>
      <c r="F743" s="7" t="s">
        <v>1712</v>
      </c>
      <c r="G743" s="7" t="s">
        <v>260</v>
      </c>
      <c r="H743" s="7" t="s">
        <v>261</v>
      </c>
      <c r="I743" s="7" t="s">
        <v>261</v>
      </c>
      <c r="J743" s="7" t="str">
        <f>IFERROR(__xludf.DUMMYFUNCTION("GOOGLETRANSLATE($I743, ""de"", ""en"")"),"NO SALARY DATA")</f>
        <v>NO SALARY DATA</v>
      </c>
      <c r="K743" s="7" t="s">
        <v>261</v>
      </c>
      <c r="L743" s="7" t="s">
        <v>312</v>
      </c>
      <c r="M743" s="7" t="s">
        <v>263</v>
      </c>
      <c r="N743" s="7" t="s">
        <v>260</v>
      </c>
      <c r="O743" s="7"/>
      <c r="P743" s="35"/>
      <c r="Q743" s="7"/>
    </row>
    <row r="744">
      <c r="A744" s="7">
        <v>739.0</v>
      </c>
      <c r="B744" s="7" t="s">
        <v>265</v>
      </c>
      <c r="C744" s="7" t="str">
        <f>IFERROR(__xludf.DUMMYFUNCTION("GOOGLETRANSLATE($B744, $A$2, $B$2)"),"More than 30 days ago")</f>
        <v>More than 30 days ago</v>
      </c>
      <c r="D744" s="7" t="s">
        <v>1713</v>
      </c>
      <c r="E744" s="7" t="s">
        <v>258</v>
      </c>
      <c r="F744" s="7" t="s">
        <v>1641</v>
      </c>
      <c r="G744" s="7" t="s">
        <v>260</v>
      </c>
      <c r="H744" s="7" t="s">
        <v>261</v>
      </c>
      <c r="I744" s="7" t="s">
        <v>261</v>
      </c>
      <c r="J744" s="7" t="str">
        <f>IFERROR(__xludf.DUMMYFUNCTION("GOOGLETRANSLATE($I744, ""de"", ""en"")"),"NO SALARY DATA")</f>
        <v>NO SALARY DATA</v>
      </c>
      <c r="K744" s="7" t="s">
        <v>261</v>
      </c>
      <c r="L744" s="7" t="s">
        <v>1714</v>
      </c>
      <c r="M744" s="7" t="s">
        <v>263</v>
      </c>
      <c r="N744" s="7" t="s">
        <v>434</v>
      </c>
      <c r="O744" s="7"/>
      <c r="P744" s="37"/>
      <c r="Q744" s="7"/>
    </row>
    <row r="745">
      <c r="A745" s="7">
        <v>740.0</v>
      </c>
      <c r="B745" s="7" t="s">
        <v>508</v>
      </c>
      <c r="C745" s="7" t="str">
        <f>IFERROR(__xludf.DUMMYFUNCTION("GOOGLETRANSLATE($B745, $A$2, $B$2)"),"24 days ago")</f>
        <v>24 days ago</v>
      </c>
      <c r="D745" s="7" t="s">
        <v>846</v>
      </c>
      <c r="E745" s="7" t="s">
        <v>629</v>
      </c>
      <c r="F745" s="7" t="s">
        <v>895</v>
      </c>
      <c r="G745" s="7" t="s">
        <v>260</v>
      </c>
      <c r="H745" s="7" t="s">
        <v>261</v>
      </c>
      <c r="I745" s="7" t="s">
        <v>261</v>
      </c>
      <c r="J745" s="7" t="str">
        <f>IFERROR(__xludf.DUMMYFUNCTION("GOOGLETRANSLATE($I745, ""de"", ""en"")"),"NO SALARY DATA")</f>
        <v>NO SALARY DATA</v>
      </c>
      <c r="K745" s="7" t="s">
        <v>261</v>
      </c>
      <c r="L745" s="7" t="s">
        <v>553</v>
      </c>
      <c r="M745" s="7" t="s">
        <v>263</v>
      </c>
      <c r="N745" s="7" t="s">
        <v>260</v>
      </c>
      <c r="O745" s="7"/>
      <c r="P745" s="35"/>
      <c r="Q745" s="7"/>
    </row>
    <row r="746">
      <c r="A746" s="7">
        <v>741.0</v>
      </c>
      <c r="B746" s="7" t="s">
        <v>265</v>
      </c>
      <c r="C746" s="7" t="str">
        <f>IFERROR(__xludf.DUMMYFUNCTION("GOOGLETRANSLATE($B746, $A$2, $B$2)"),"More than 30 days ago")</f>
        <v>More than 30 days ago</v>
      </c>
      <c r="D746" s="7" t="s">
        <v>1663</v>
      </c>
      <c r="E746" s="7" t="s">
        <v>401</v>
      </c>
      <c r="F746" s="7" t="s">
        <v>1168</v>
      </c>
      <c r="G746" s="7" t="s">
        <v>260</v>
      </c>
      <c r="H746" s="7" t="s">
        <v>261</v>
      </c>
      <c r="I746" s="7" t="s">
        <v>261</v>
      </c>
      <c r="J746" s="7" t="str">
        <f>IFERROR(__xludf.DUMMYFUNCTION("GOOGLETRANSLATE($I746, ""de"", ""en"")"),"NO SALARY DATA")</f>
        <v>NO SALARY DATA</v>
      </c>
      <c r="K746" s="7" t="s">
        <v>261</v>
      </c>
      <c r="L746" s="7"/>
      <c r="M746" s="7" t="s">
        <v>263</v>
      </c>
      <c r="N746" s="7" t="s">
        <v>1169</v>
      </c>
      <c r="O746" s="7"/>
      <c r="P746" s="37"/>
      <c r="Q746" s="7"/>
    </row>
    <row r="747">
      <c r="A747" s="7">
        <v>742.0</v>
      </c>
      <c r="B747" s="7" t="s">
        <v>379</v>
      </c>
      <c r="C747" s="7" t="str">
        <f>IFERROR(__xludf.DUMMYFUNCTION("GOOGLETRANSLATE($B747, $A$2, $B$2)"),"13 days ago")</f>
        <v>13 days ago</v>
      </c>
      <c r="D747" s="7" t="s">
        <v>1715</v>
      </c>
      <c r="E747" s="7" t="s">
        <v>280</v>
      </c>
      <c r="F747" s="7" t="s">
        <v>613</v>
      </c>
      <c r="G747" s="7" t="s">
        <v>260</v>
      </c>
      <c r="H747" s="7" t="s">
        <v>261</v>
      </c>
      <c r="I747" s="7" t="s">
        <v>261</v>
      </c>
      <c r="J747" s="7" t="str">
        <f>IFERROR(__xludf.DUMMYFUNCTION("GOOGLETRANSLATE($I747, ""de"", ""en"")"),"NO SALARY DATA")</f>
        <v>NO SALARY DATA</v>
      </c>
      <c r="K747" s="7" t="s">
        <v>261</v>
      </c>
      <c r="L747" s="7" t="s">
        <v>585</v>
      </c>
      <c r="M747" s="7" t="s">
        <v>263</v>
      </c>
      <c r="N747" s="7" t="s">
        <v>260</v>
      </c>
      <c r="O747" s="7"/>
      <c r="P747" s="37"/>
      <c r="Q747" s="7"/>
    </row>
    <row r="748">
      <c r="A748" s="7">
        <v>743.0</v>
      </c>
      <c r="B748" s="7" t="s">
        <v>265</v>
      </c>
      <c r="C748" s="7" t="str">
        <f>IFERROR(__xludf.DUMMYFUNCTION("GOOGLETRANSLATE($B748, $A$2, $B$2)"),"More than 30 days ago")</f>
        <v>More than 30 days ago</v>
      </c>
      <c r="D748" s="7" t="s">
        <v>1403</v>
      </c>
      <c r="E748" s="7" t="s">
        <v>343</v>
      </c>
      <c r="F748" s="7" t="s">
        <v>869</v>
      </c>
      <c r="G748" s="7" t="s">
        <v>1404</v>
      </c>
      <c r="H748" s="7">
        <v>48000.0</v>
      </c>
      <c r="I748" s="7" t="s">
        <v>384</v>
      </c>
      <c r="J748" s="7" t="str">
        <f>IFERROR(__xludf.DUMMYFUNCTION("GOOGLETRANSLATE($I748, ""de"", ""en"")"),"year")</f>
        <v>year</v>
      </c>
      <c r="K748" s="7">
        <v>48000.0</v>
      </c>
      <c r="L748" s="7" t="s">
        <v>282</v>
      </c>
      <c r="M748" s="7" t="s">
        <v>263</v>
      </c>
      <c r="N748" s="7" t="s">
        <v>260</v>
      </c>
      <c r="O748" s="7"/>
      <c r="P748" s="37"/>
      <c r="Q748" s="7"/>
    </row>
    <row r="749">
      <c r="A749" s="7">
        <v>744.0</v>
      </c>
      <c r="B749" s="7" t="s">
        <v>265</v>
      </c>
      <c r="C749" s="7" t="str">
        <f>IFERROR(__xludf.DUMMYFUNCTION("GOOGLETRANSLATE($B749, $A$2, $B$2)"),"More than 30 days ago")</f>
        <v>More than 30 days ago</v>
      </c>
      <c r="D749" s="7" t="s">
        <v>1716</v>
      </c>
      <c r="E749" s="7" t="s">
        <v>1108</v>
      </c>
      <c r="F749" s="7" t="s">
        <v>1717</v>
      </c>
      <c r="G749" s="7" t="s">
        <v>260</v>
      </c>
      <c r="H749" s="7" t="s">
        <v>261</v>
      </c>
      <c r="I749" s="7" t="s">
        <v>261</v>
      </c>
      <c r="J749" s="7" t="str">
        <f>IFERROR(__xludf.DUMMYFUNCTION("GOOGLETRANSLATE($I749, ""de"", ""en"")"),"NO SALARY DATA")</f>
        <v>NO SALARY DATA</v>
      </c>
      <c r="K749" s="7" t="s">
        <v>261</v>
      </c>
      <c r="L749" s="7" t="s">
        <v>410</v>
      </c>
      <c r="M749" s="7" t="s">
        <v>263</v>
      </c>
      <c r="N749" s="7" t="s">
        <v>260</v>
      </c>
      <c r="O749" s="7"/>
      <c r="P749" s="37"/>
      <c r="Q749" s="7"/>
    </row>
    <row r="750">
      <c r="A750" s="7">
        <v>745.0</v>
      </c>
      <c r="B750" s="7" t="s">
        <v>332</v>
      </c>
      <c r="C750" s="7" t="str">
        <f>IFERROR(__xludf.DUMMYFUNCTION("GOOGLETRANSLATE($B750, $A$2, $B$2)"),"4 days ago")</f>
        <v>4 days ago</v>
      </c>
      <c r="D750" s="7" t="s">
        <v>1445</v>
      </c>
      <c r="E750" s="7" t="s">
        <v>298</v>
      </c>
      <c r="F750" s="7" t="s">
        <v>662</v>
      </c>
      <c r="G750" s="7" t="s">
        <v>260</v>
      </c>
      <c r="H750" s="7" t="s">
        <v>261</v>
      </c>
      <c r="I750" s="7" t="s">
        <v>261</v>
      </c>
      <c r="J750" s="7" t="str">
        <f>IFERROR(__xludf.DUMMYFUNCTION("GOOGLETRANSLATE($I750, ""de"", ""en"")"),"NO SALARY DATA")</f>
        <v>NO SALARY DATA</v>
      </c>
      <c r="K750" s="7" t="s">
        <v>261</v>
      </c>
      <c r="L750" s="7"/>
      <c r="M750" s="7" t="s">
        <v>452</v>
      </c>
      <c r="N750" s="7" t="s">
        <v>260</v>
      </c>
      <c r="O750" s="7"/>
      <c r="P750" s="37"/>
      <c r="Q750" s="7"/>
    </row>
    <row r="751">
      <c r="A751" s="7">
        <v>746.0</v>
      </c>
      <c r="B751" s="7" t="s">
        <v>379</v>
      </c>
      <c r="C751" s="7" t="str">
        <f>IFERROR(__xludf.DUMMYFUNCTION("GOOGLETRANSLATE($B751, $A$2, $B$2)"),"13 days ago")</f>
        <v>13 days ago</v>
      </c>
      <c r="D751" s="7" t="s">
        <v>1346</v>
      </c>
      <c r="E751" s="7" t="s">
        <v>280</v>
      </c>
      <c r="F751" s="7" t="s">
        <v>877</v>
      </c>
      <c r="G751" s="7" t="s">
        <v>260</v>
      </c>
      <c r="H751" s="7" t="s">
        <v>261</v>
      </c>
      <c r="I751" s="7" t="s">
        <v>261</v>
      </c>
      <c r="J751" s="7" t="str">
        <f>IFERROR(__xludf.DUMMYFUNCTION("GOOGLETRANSLATE($I751, ""de"", ""en"")"),"NO SALARY DATA")</f>
        <v>NO SALARY DATA</v>
      </c>
      <c r="K751" s="7" t="s">
        <v>261</v>
      </c>
      <c r="L751" s="7" t="s">
        <v>327</v>
      </c>
      <c r="M751" s="7" t="s">
        <v>263</v>
      </c>
      <c r="N751" s="7" t="s">
        <v>260</v>
      </c>
      <c r="O751" s="7"/>
      <c r="P751" s="37"/>
      <c r="Q751" s="7"/>
    </row>
    <row r="752">
      <c r="A752" s="7">
        <v>747.0</v>
      </c>
      <c r="B752" s="7" t="s">
        <v>265</v>
      </c>
      <c r="C752" s="7" t="str">
        <f>IFERROR(__xludf.DUMMYFUNCTION("GOOGLETRANSLATE($B752, $A$2, $B$2)"),"More than 30 days ago")</f>
        <v>More than 30 days ago</v>
      </c>
      <c r="D752" s="7" t="s">
        <v>1718</v>
      </c>
      <c r="E752" s="7" t="s">
        <v>258</v>
      </c>
      <c r="F752" s="7" t="s">
        <v>1719</v>
      </c>
      <c r="G752" s="7" t="s">
        <v>260</v>
      </c>
      <c r="H752" s="7" t="s">
        <v>261</v>
      </c>
      <c r="I752" s="7" t="s">
        <v>261</v>
      </c>
      <c r="J752" s="7" t="str">
        <f>IFERROR(__xludf.DUMMYFUNCTION("GOOGLETRANSLATE($I752, ""de"", ""en"")"),"NO SALARY DATA")</f>
        <v>NO SALARY DATA</v>
      </c>
      <c r="K752" s="7" t="s">
        <v>261</v>
      </c>
      <c r="L752" s="7" t="s">
        <v>282</v>
      </c>
      <c r="M752" s="7" t="s">
        <v>263</v>
      </c>
      <c r="N752" s="7" t="s">
        <v>260</v>
      </c>
      <c r="O752" s="7"/>
      <c r="P752" s="37"/>
      <c r="Q752" s="7"/>
    </row>
    <row r="753">
      <c r="A753" s="7">
        <v>748.0</v>
      </c>
      <c r="B753" s="7" t="s">
        <v>892</v>
      </c>
      <c r="C753" s="7" t="str">
        <f>IFERROR(__xludf.DUMMYFUNCTION("GOOGLETRANSLATE($B753, $A$2, $B$2)"),"25 days ago")</f>
        <v>25 days ago</v>
      </c>
      <c r="D753" s="7" t="s">
        <v>1720</v>
      </c>
      <c r="E753" s="7" t="s">
        <v>1721</v>
      </c>
      <c r="F753" s="7" t="s">
        <v>1722</v>
      </c>
      <c r="G753" s="7" t="s">
        <v>260</v>
      </c>
      <c r="H753" s="7" t="s">
        <v>261</v>
      </c>
      <c r="I753" s="7" t="s">
        <v>261</v>
      </c>
      <c r="J753" s="7" t="str">
        <f>IFERROR(__xludf.DUMMYFUNCTION("GOOGLETRANSLATE($I753, ""de"", ""en"")"),"NO SALARY DATA")</f>
        <v>NO SALARY DATA</v>
      </c>
      <c r="K753" s="7" t="s">
        <v>261</v>
      </c>
      <c r="L753" s="7" t="s">
        <v>875</v>
      </c>
      <c r="M753" s="7" t="s">
        <v>263</v>
      </c>
      <c r="N753" s="7" t="s">
        <v>260</v>
      </c>
      <c r="O753" s="7"/>
      <c r="P753" s="37"/>
      <c r="Q753" s="7"/>
    </row>
    <row r="754">
      <c r="A754" s="7">
        <v>749.0</v>
      </c>
      <c r="B754" s="7" t="s">
        <v>265</v>
      </c>
      <c r="C754" s="7" t="str">
        <f>IFERROR(__xludf.DUMMYFUNCTION("GOOGLETRANSLATE($B754, $A$2, $B$2)"),"More than 30 days ago")</f>
        <v>More than 30 days ago</v>
      </c>
      <c r="D754" s="7" t="s">
        <v>1723</v>
      </c>
      <c r="E754" s="7" t="s">
        <v>1227</v>
      </c>
      <c r="F754" s="7" t="s">
        <v>1724</v>
      </c>
      <c r="G754" s="7" t="s">
        <v>260</v>
      </c>
      <c r="H754" s="7" t="s">
        <v>261</v>
      </c>
      <c r="I754" s="7" t="s">
        <v>261</v>
      </c>
      <c r="J754" s="7" t="str">
        <f>IFERROR(__xludf.DUMMYFUNCTION("GOOGLETRANSLATE($I754, ""de"", ""en"")"),"NO SALARY DATA")</f>
        <v>NO SALARY DATA</v>
      </c>
      <c r="K754" s="7" t="s">
        <v>261</v>
      </c>
      <c r="L754" s="7" t="s">
        <v>777</v>
      </c>
      <c r="M754" s="7" t="s">
        <v>263</v>
      </c>
      <c r="N754" s="7" t="s">
        <v>260</v>
      </c>
      <c r="O754" s="7"/>
      <c r="P754" s="37"/>
      <c r="Q754" s="7"/>
    </row>
    <row r="755">
      <c r="A755" s="7">
        <v>750.0</v>
      </c>
      <c r="B755" s="7" t="s">
        <v>332</v>
      </c>
      <c r="C755" s="7" t="str">
        <f>IFERROR(__xludf.DUMMYFUNCTION("GOOGLETRANSLATE($B755, $A$2, $B$2)"),"4 days ago")</f>
        <v>4 days ago</v>
      </c>
      <c r="D755" s="7" t="s">
        <v>1682</v>
      </c>
      <c r="E755" s="7" t="s">
        <v>258</v>
      </c>
      <c r="F755" s="7" t="s">
        <v>1683</v>
      </c>
      <c r="G755" s="7" t="s">
        <v>260</v>
      </c>
      <c r="H755" s="7" t="s">
        <v>261</v>
      </c>
      <c r="I755" s="7" t="s">
        <v>261</v>
      </c>
      <c r="J755" s="7" t="str">
        <f>IFERROR(__xludf.DUMMYFUNCTION("GOOGLETRANSLATE($I755, ""de"", ""en"")"),"NO SALARY DATA")</f>
        <v>NO SALARY DATA</v>
      </c>
      <c r="K755" s="7" t="s">
        <v>261</v>
      </c>
      <c r="L755" s="7"/>
      <c r="M755" s="7" t="s">
        <v>263</v>
      </c>
      <c r="N755" s="7" t="s">
        <v>260</v>
      </c>
      <c r="O755" s="7"/>
      <c r="P755" s="37"/>
      <c r="Q755" s="7"/>
    </row>
    <row r="756">
      <c r="A756" s="7">
        <v>751.0</v>
      </c>
      <c r="B756" s="7" t="s">
        <v>265</v>
      </c>
      <c r="C756" s="7" t="str">
        <f>IFERROR(__xludf.DUMMYFUNCTION("GOOGLETRANSLATE($B756, $A$2, $B$2)"),"More than 30 days ago")</f>
        <v>More than 30 days ago</v>
      </c>
      <c r="D756" s="7" t="s">
        <v>1725</v>
      </c>
      <c r="E756" s="7" t="s">
        <v>735</v>
      </c>
      <c r="F756" s="7" t="s">
        <v>736</v>
      </c>
      <c r="G756" s="7" t="s">
        <v>260</v>
      </c>
      <c r="H756" s="7" t="s">
        <v>261</v>
      </c>
      <c r="I756" s="7" t="s">
        <v>261</v>
      </c>
      <c r="J756" s="7" t="str">
        <f>IFERROR(__xludf.DUMMYFUNCTION("GOOGLETRANSLATE($I756, ""de"", ""en"")"),"NO SALARY DATA")</f>
        <v>NO SALARY DATA</v>
      </c>
      <c r="K756" s="7" t="s">
        <v>261</v>
      </c>
      <c r="L756" s="7" t="s">
        <v>1726</v>
      </c>
      <c r="M756" s="7" t="s">
        <v>263</v>
      </c>
      <c r="N756" s="7" t="s">
        <v>260</v>
      </c>
      <c r="O756" s="7"/>
      <c r="P756" s="37"/>
      <c r="Q756" s="7"/>
    </row>
    <row r="757">
      <c r="A757" s="7">
        <v>752.0</v>
      </c>
      <c r="B757" s="7" t="s">
        <v>358</v>
      </c>
      <c r="C757" s="7" t="str">
        <f>IFERROR(__xludf.DUMMYFUNCTION("GOOGLETRANSLATE($B757, $A$2, $B$2)"),"28 days ago")</f>
        <v>28 days ago</v>
      </c>
      <c r="D757" s="7" t="s">
        <v>283</v>
      </c>
      <c r="E757" s="7" t="s">
        <v>271</v>
      </c>
      <c r="F757" s="7" t="s">
        <v>862</v>
      </c>
      <c r="G757" s="7" t="s">
        <v>260</v>
      </c>
      <c r="H757" s="7" t="s">
        <v>261</v>
      </c>
      <c r="I757" s="7" t="s">
        <v>261</v>
      </c>
      <c r="J757" s="7" t="str">
        <f>IFERROR(__xludf.DUMMYFUNCTION("GOOGLETRANSLATE($I757, ""de"", ""en"")"),"NO SALARY DATA")</f>
        <v>NO SALARY DATA</v>
      </c>
      <c r="K757" s="7" t="s">
        <v>261</v>
      </c>
      <c r="L757" s="7" t="s">
        <v>321</v>
      </c>
      <c r="M757" s="7" t="s">
        <v>452</v>
      </c>
      <c r="N757" s="7" t="s">
        <v>260</v>
      </c>
      <c r="O757" s="7"/>
      <c r="P757" s="35"/>
      <c r="Q757" s="7"/>
    </row>
    <row r="758">
      <c r="A758" s="7">
        <v>753.0</v>
      </c>
      <c r="B758" s="7" t="s">
        <v>265</v>
      </c>
      <c r="C758" s="7" t="str">
        <f>IFERROR(__xludf.DUMMYFUNCTION("GOOGLETRANSLATE($B758, $A$2, $B$2)"),"More than 30 days ago")</f>
        <v>More than 30 days ago</v>
      </c>
      <c r="D758" s="7" t="s">
        <v>1727</v>
      </c>
      <c r="E758" s="7" t="s">
        <v>280</v>
      </c>
      <c r="F758" s="7" t="s">
        <v>1728</v>
      </c>
      <c r="G758" s="7" t="s">
        <v>260</v>
      </c>
      <c r="H758" s="7" t="s">
        <v>261</v>
      </c>
      <c r="I758" s="7" t="s">
        <v>261</v>
      </c>
      <c r="J758" s="7" t="str">
        <f>IFERROR(__xludf.DUMMYFUNCTION("GOOGLETRANSLATE($I758, ""de"", ""en"")"),"NO SALARY DATA")</f>
        <v>NO SALARY DATA</v>
      </c>
      <c r="K758" s="7" t="s">
        <v>261</v>
      </c>
      <c r="L758" s="7" t="s">
        <v>875</v>
      </c>
      <c r="M758" s="7" t="s">
        <v>287</v>
      </c>
      <c r="N758" s="7" t="s">
        <v>434</v>
      </c>
      <c r="O758" s="7"/>
      <c r="P758" s="37"/>
      <c r="Q758" s="7"/>
    </row>
    <row r="759">
      <c r="A759" s="7">
        <v>754.0</v>
      </c>
      <c r="B759" s="7" t="s">
        <v>265</v>
      </c>
      <c r="C759" s="7" t="str">
        <f>IFERROR(__xludf.DUMMYFUNCTION("GOOGLETRANSLATE($B759, $A$2, $B$2)"),"More than 30 days ago")</f>
        <v>More than 30 days ago</v>
      </c>
      <c r="D759" s="7" t="s">
        <v>1729</v>
      </c>
      <c r="E759" s="7" t="s">
        <v>352</v>
      </c>
      <c r="F759" s="7" t="s">
        <v>1730</v>
      </c>
      <c r="G759" s="7" t="s">
        <v>260</v>
      </c>
      <c r="H759" s="7" t="s">
        <v>261</v>
      </c>
      <c r="I759" s="7" t="s">
        <v>261</v>
      </c>
      <c r="J759" s="7" t="str">
        <f>IFERROR(__xludf.DUMMYFUNCTION("GOOGLETRANSLATE($I759, ""de"", ""en"")"),"NO SALARY DATA")</f>
        <v>NO SALARY DATA</v>
      </c>
      <c r="K759" s="7" t="s">
        <v>261</v>
      </c>
      <c r="L759" s="7" t="s">
        <v>1731</v>
      </c>
      <c r="M759" s="7" t="s">
        <v>263</v>
      </c>
      <c r="N759" s="7" t="s">
        <v>260</v>
      </c>
      <c r="O759" s="7"/>
      <c r="P759" s="37"/>
      <c r="Q759" s="7"/>
    </row>
    <row r="760">
      <c r="A760" s="7">
        <v>755.0</v>
      </c>
      <c r="B760" s="7" t="s">
        <v>265</v>
      </c>
      <c r="C760" s="7" t="str">
        <f>IFERROR(__xludf.DUMMYFUNCTION("GOOGLETRANSLATE($B760, $A$2, $B$2)"),"More than 30 days ago")</f>
        <v>More than 30 days ago</v>
      </c>
      <c r="D760" s="7" t="s">
        <v>1732</v>
      </c>
      <c r="E760" s="7" t="s">
        <v>271</v>
      </c>
      <c r="F760" s="7" t="s">
        <v>1733</v>
      </c>
      <c r="G760" s="7" t="s">
        <v>260</v>
      </c>
      <c r="H760" s="7" t="s">
        <v>261</v>
      </c>
      <c r="I760" s="7" t="s">
        <v>261</v>
      </c>
      <c r="J760" s="7" t="str">
        <f>IFERROR(__xludf.DUMMYFUNCTION("GOOGLETRANSLATE($I760, ""de"", ""en"")"),"NO SALARY DATA")</f>
        <v>NO SALARY DATA</v>
      </c>
      <c r="K760" s="7" t="s">
        <v>261</v>
      </c>
      <c r="L760" s="7" t="s">
        <v>1734</v>
      </c>
      <c r="M760" s="7" t="s">
        <v>263</v>
      </c>
      <c r="N760" s="7" t="s">
        <v>260</v>
      </c>
      <c r="O760" s="7"/>
      <c r="P760" s="37"/>
      <c r="Q760" s="7"/>
    </row>
    <row r="761">
      <c r="A761" s="7">
        <v>756.0</v>
      </c>
      <c r="B761" s="7" t="s">
        <v>265</v>
      </c>
      <c r="C761" s="7" t="str">
        <f>IFERROR(__xludf.DUMMYFUNCTION("GOOGLETRANSLATE($B761, $A$2, $B$2)"),"More than 30 days ago")</f>
        <v>More than 30 days ago</v>
      </c>
      <c r="D761" s="7" t="s">
        <v>1735</v>
      </c>
      <c r="E761" s="7" t="s">
        <v>271</v>
      </c>
      <c r="F761" s="7" t="s">
        <v>1360</v>
      </c>
      <c r="G761" s="7" t="s">
        <v>260</v>
      </c>
      <c r="H761" s="7" t="s">
        <v>261</v>
      </c>
      <c r="I761" s="7" t="s">
        <v>261</v>
      </c>
      <c r="J761" s="7" t="str">
        <f>IFERROR(__xludf.DUMMYFUNCTION("GOOGLETRANSLATE($I761, ""de"", ""en"")"),"NO SALARY DATA")</f>
        <v>NO SALARY DATA</v>
      </c>
      <c r="K761" s="7" t="s">
        <v>261</v>
      </c>
      <c r="L761" s="7" t="s">
        <v>455</v>
      </c>
      <c r="M761" s="7" t="s">
        <v>263</v>
      </c>
      <c r="N761" s="7" t="s">
        <v>260</v>
      </c>
      <c r="O761" s="7"/>
      <c r="P761" s="37"/>
      <c r="Q761" s="7"/>
    </row>
    <row r="762">
      <c r="A762" s="7">
        <v>757.0</v>
      </c>
      <c r="B762" s="7" t="s">
        <v>256</v>
      </c>
      <c r="C762" s="7" t="str">
        <f>IFERROR(__xludf.DUMMYFUNCTION("GOOGLETRANSLATE($B762, $A$2, $B$2)"),"7 days ago")</f>
        <v>7 days ago</v>
      </c>
      <c r="D762" s="7" t="s">
        <v>1736</v>
      </c>
      <c r="E762" s="7" t="s">
        <v>1023</v>
      </c>
      <c r="F762" s="7" t="s">
        <v>1024</v>
      </c>
      <c r="G762" s="7" t="s">
        <v>260</v>
      </c>
      <c r="H762" s="7" t="s">
        <v>261</v>
      </c>
      <c r="I762" s="7" t="s">
        <v>261</v>
      </c>
      <c r="J762" s="7" t="str">
        <f>IFERROR(__xludf.DUMMYFUNCTION("GOOGLETRANSLATE($I762, ""de"", ""en"")"),"NO SALARY DATA")</f>
        <v>NO SALARY DATA</v>
      </c>
      <c r="K762" s="7" t="s">
        <v>261</v>
      </c>
      <c r="L762" s="7" t="s">
        <v>1737</v>
      </c>
      <c r="M762" s="7" t="s">
        <v>263</v>
      </c>
      <c r="N762" s="7" t="s">
        <v>260</v>
      </c>
      <c r="O762" s="7"/>
      <c r="P762" s="35"/>
      <c r="Q762" s="7"/>
    </row>
    <row r="763">
      <c r="A763" s="7">
        <v>758.0</v>
      </c>
      <c r="B763" s="7" t="s">
        <v>375</v>
      </c>
      <c r="C763" s="7" t="str">
        <f>IFERROR(__xludf.DUMMYFUNCTION("GOOGLETRANSLATE($B763, $A$2, $B$2)"),"6 days ago")</f>
        <v>6 days ago</v>
      </c>
      <c r="D763" s="7" t="s">
        <v>1646</v>
      </c>
      <c r="E763" s="7" t="s">
        <v>343</v>
      </c>
      <c r="F763" s="7" t="s">
        <v>1738</v>
      </c>
      <c r="G763" s="7" t="s">
        <v>260</v>
      </c>
      <c r="H763" s="7" t="s">
        <v>261</v>
      </c>
      <c r="I763" s="7" t="s">
        <v>261</v>
      </c>
      <c r="J763" s="7" t="str">
        <f>IFERROR(__xludf.DUMMYFUNCTION("GOOGLETRANSLATE($I763, ""de"", ""en"")"),"NO SALARY DATA")</f>
        <v>NO SALARY DATA</v>
      </c>
      <c r="K763" s="7" t="s">
        <v>261</v>
      </c>
      <c r="L763" s="7"/>
      <c r="M763" s="7" t="s">
        <v>263</v>
      </c>
      <c r="N763" s="7" t="s">
        <v>434</v>
      </c>
      <c r="O763" s="7"/>
      <c r="P763" s="37"/>
      <c r="Q763" s="7"/>
    </row>
    <row r="764">
      <c r="A764" s="7">
        <v>759.0</v>
      </c>
      <c r="B764" s="7" t="s">
        <v>265</v>
      </c>
      <c r="C764" s="7" t="str">
        <f>IFERROR(__xludf.DUMMYFUNCTION("GOOGLETRANSLATE($B764, $A$2, $B$2)"),"More than 30 days ago")</f>
        <v>More than 30 days ago</v>
      </c>
      <c r="D764" s="7" t="s">
        <v>706</v>
      </c>
      <c r="E764" s="7" t="s">
        <v>480</v>
      </c>
      <c r="F764" s="7" t="s">
        <v>1584</v>
      </c>
      <c r="G764" s="7" t="s">
        <v>260</v>
      </c>
      <c r="H764" s="7" t="s">
        <v>261</v>
      </c>
      <c r="I764" s="7" t="s">
        <v>261</v>
      </c>
      <c r="J764" s="7" t="str">
        <f>IFERROR(__xludf.DUMMYFUNCTION("GOOGLETRANSLATE($I764, ""de"", ""en"")"),"NO SALARY DATA")</f>
        <v>NO SALARY DATA</v>
      </c>
      <c r="K764" s="7" t="s">
        <v>261</v>
      </c>
      <c r="L764" s="7" t="s">
        <v>419</v>
      </c>
      <c r="M764" s="7" t="s">
        <v>263</v>
      </c>
      <c r="N764" s="7" t="s">
        <v>260</v>
      </c>
      <c r="O764" s="7"/>
      <c r="P764" s="37"/>
      <c r="Q764" s="7"/>
    </row>
    <row r="765">
      <c r="A765" s="7">
        <v>760.0</v>
      </c>
      <c r="B765" s="7" t="s">
        <v>265</v>
      </c>
      <c r="C765" s="7" t="str">
        <f>IFERROR(__xludf.DUMMYFUNCTION("GOOGLETRANSLATE($B765, $A$2, $B$2)"),"More than 30 days ago")</f>
        <v>More than 30 days ago</v>
      </c>
      <c r="D765" s="7" t="s">
        <v>1739</v>
      </c>
      <c r="E765" s="7" t="s">
        <v>622</v>
      </c>
      <c r="F765" s="7" t="s">
        <v>1740</v>
      </c>
      <c r="G765" s="7" t="s">
        <v>260</v>
      </c>
      <c r="H765" s="7" t="s">
        <v>261</v>
      </c>
      <c r="I765" s="7" t="s">
        <v>261</v>
      </c>
      <c r="J765" s="7" t="str">
        <f>IFERROR(__xludf.DUMMYFUNCTION("GOOGLETRANSLATE($I765, ""de"", ""en"")"),"NO SALARY DATA")</f>
        <v>NO SALARY DATA</v>
      </c>
      <c r="K765" s="7" t="s">
        <v>261</v>
      </c>
      <c r="L765" s="7" t="s">
        <v>1741</v>
      </c>
      <c r="M765" s="7" t="s">
        <v>263</v>
      </c>
      <c r="N765" s="7" t="s">
        <v>260</v>
      </c>
      <c r="O765" s="7"/>
      <c r="P765" s="35"/>
      <c r="Q765" s="7"/>
    </row>
    <row r="766">
      <c r="A766" s="7">
        <v>761.0</v>
      </c>
      <c r="B766" s="7" t="s">
        <v>265</v>
      </c>
      <c r="C766" s="7" t="str">
        <f>IFERROR(__xludf.DUMMYFUNCTION("GOOGLETRANSLATE($B766, $A$2, $B$2)"),"More than 30 days ago")</f>
        <v>More than 30 days ago</v>
      </c>
      <c r="D766" s="7" t="s">
        <v>1742</v>
      </c>
      <c r="E766" s="7" t="s">
        <v>348</v>
      </c>
      <c r="F766" s="7" t="s">
        <v>1170</v>
      </c>
      <c r="G766" s="7" t="s">
        <v>260</v>
      </c>
      <c r="H766" s="7" t="s">
        <v>261</v>
      </c>
      <c r="I766" s="7" t="s">
        <v>261</v>
      </c>
      <c r="J766" s="7" t="str">
        <f>IFERROR(__xludf.DUMMYFUNCTION("GOOGLETRANSLATE($I766, ""de"", ""en"")"),"NO SALARY DATA")</f>
        <v>NO SALARY DATA</v>
      </c>
      <c r="K766" s="7" t="s">
        <v>261</v>
      </c>
      <c r="L766" s="7" t="s">
        <v>321</v>
      </c>
      <c r="M766" s="7" t="s">
        <v>263</v>
      </c>
      <c r="N766" s="7" t="s">
        <v>399</v>
      </c>
      <c r="O766" s="7"/>
      <c r="P766" s="35"/>
      <c r="Q766" s="7"/>
    </row>
    <row r="767">
      <c r="A767" s="7">
        <v>762.0</v>
      </c>
      <c r="B767" s="7" t="s">
        <v>265</v>
      </c>
      <c r="C767" s="7" t="str">
        <f>IFERROR(__xludf.DUMMYFUNCTION("GOOGLETRANSLATE($B767, $A$2, $B$2)"),"More than 30 days ago")</f>
        <v>More than 30 days ago</v>
      </c>
      <c r="D767" s="7" t="s">
        <v>1743</v>
      </c>
      <c r="E767" s="7" t="s">
        <v>280</v>
      </c>
      <c r="F767" s="7" t="s">
        <v>454</v>
      </c>
      <c r="G767" s="7" t="s">
        <v>260</v>
      </c>
      <c r="H767" s="7" t="s">
        <v>261</v>
      </c>
      <c r="I767" s="7" t="s">
        <v>261</v>
      </c>
      <c r="J767" s="7" t="str">
        <f>IFERROR(__xludf.DUMMYFUNCTION("GOOGLETRANSLATE($I767, ""de"", ""en"")"),"NO SALARY DATA")</f>
        <v>NO SALARY DATA</v>
      </c>
      <c r="K767" s="7" t="s">
        <v>261</v>
      </c>
      <c r="L767" s="7"/>
      <c r="M767" s="7" t="s">
        <v>263</v>
      </c>
      <c r="N767" s="7" t="s">
        <v>331</v>
      </c>
      <c r="O767" s="7"/>
      <c r="P767" s="35"/>
      <c r="Q767" s="7"/>
    </row>
    <row r="768">
      <c r="A768" s="7">
        <v>763.0</v>
      </c>
      <c r="B768" s="7" t="s">
        <v>395</v>
      </c>
      <c r="C768" s="7" t="str">
        <f>IFERROR(__xludf.DUMMYFUNCTION("GOOGLETRANSLATE($B768, $A$2, $B$2)"),"21 days ago")</f>
        <v>21 days ago</v>
      </c>
      <c r="D768" s="7" t="s">
        <v>1744</v>
      </c>
      <c r="E768" s="7" t="s">
        <v>401</v>
      </c>
      <c r="F768" s="7" t="s">
        <v>1745</v>
      </c>
      <c r="G768" s="7" t="s">
        <v>260</v>
      </c>
      <c r="H768" s="7" t="s">
        <v>261</v>
      </c>
      <c r="I768" s="7" t="s">
        <v>261</v>
      </c>
      <c r="J768" s="7" t="str">
        <f>IFERROR(__xludf.DUMMYFUNCTION("GOOGLETRANSLATE($I768, ""de"", ""en"")"),"NO SALARY DATA")</f>
        <v>NO SALARY DATA</v>
      </c>
      <c r="K768" s="7" t="s">
        <v>261</v>
      </c>
      <c r="L768" s="7"/>
      <c r="M768" s="7" t="s">
        <v>263</v>
      </c>
      <c r="N768" s="7" t="s">
        <v>532</v>
      </c>
      <c r="O768" s="7"/>
      <c r="P768" s="37"/>
      <c r="Q768" s="7"/>
    </row>
    <row r="769">
      <c r="A769" s="7">
        <v>764.0</v>
      </c>
      <c r="B769" s="7" t="s">
        <v>392</v>
      </c>
      <c r="C769" s="7" t="str">
        <f>IFERROR(__xludf.DUMMYFUNCTION("GOOGLETRANSLATE($B769, $A$2, $B$2)"),"10 days ago")</f>
        <v>10 days ago</v>
      </c>
      <c r="D769" s="7" t="s">
        <v>1746</v>
      </c>
      <c r="E769" s="7" t="s">
        <v>258</v>
      </c>
      <c r="F769" s="7" t="s">
        <v>589</v>
      </c>
      <c r="G769" s="7" t="s">
        <v>1747</v>
      </c>
      <c r="H769" s="7">
        <v>11.0</v>
      </c>
      <c r="I769" s="7" t="s">
        <v>388</v>
      </c>
      <c r="J769" s="7" t="str">
        <f>IFERROR(__xludf.DUMMYFUNCTION("GOOGLETRANSLATE($I769, ""de"", ""en"")"),"hour")</f>
        <v>hour</v>
      </c>
      <c r="K769" s="7">
        <v>23232.0</v>
      </c>
      <c r="L769" s="7" t="s">
        <v>1637</v>
      </c>
      <c r="M769" s="7" t="s">
        <v>673</v>
      </c>
      <c r="N769" s="7" t="s">
        <v>260</v>
      </c>
      <c r="O769" s="7"/>
      <c r="P769" s="37"/>
      <c r="Q769" s="7"/>
    </row>
    <row r="770">
      <c r="A770" s="7">
        <v>765.0</v>
      </c>
      <c r="B770" s="7" t="s">
        <v>265</v>
      </c>
      <c r="C770" s="7" t="str">
        <f>IFERROR(__xludf.DUMMYFUNCTION("GOOGLETRANSLATE($B770, $A$2, $B$2)"),"More than 30 days ago")</f>
        <v>More than 30 days ago</v>
      </c>
      <c r="D770" s="7" t="s">
        <v>1748</v>
      </c>
      <c r="E770" s="7" t="s">
        <v>535</v>
      </c>
      <c r="F770" s="7" t="s">
        <v>1749</v>
      </c>
      <c r="G770" s="7" t="s">
        <v>260</v>
      </c>
      <c r="H770" s="7" t="s">
        <v>261</v>
      </c>
      <c r="I770" s="7" t="s">
        <v>261</v>
      </c>
      <c r="J770" s="7" t="str">
        <f>IFERROR(__xludf.DUMMYFUNCTION("GOOGLETRANSLATE($I770, ""de"", ""en"")"),"NO SALARY DATA")</f>
        <v>NO SALARY DATA</v>
      </c>
      <c r="K770" s="7" t="s">
        <v>261</v>
      </c>
      <c r="L770" s="7" t="s">
        <v>1373</v>
      </c>
      <c r="M770" s="7" t="s">
        <v>263</v>
      </c>
      <c r="N770" s="7" t="s">
        <v>260</v>
      </c>
      <c r="O770" s="7"/>
      <c r="P770" s="37"/>
      <c r="Q770" s="7"/>
    </row>
    <row r="771">
      <c r="A771" s="7">
        <v>766.0</v>
      </c>
      <c r="B771" s="7" t="s">
        <v>265</v>
      </c>
      <c r="C771" s="7" t="str">
        <f>IFERROR(__xludf.DUMMYFUNCTION("GOOGLETRANSLATE($B771, $A$2, $B$2)"),"More than 30 days ago")</f>
        <v>More than 30 days ago</v>
      </c>
      <c r="D771" s="7" t="s">
        <v>1725</v>
      </c>
      <c r="E771" s="7" t="s">
        <v>735</v>
      </c>
      <c r="F771" s="7" t="s">
        <v>736</v>
      </c>
      <c r="G771" s="7" t="s">
        <v>260</v>
      </c>
      <c r="H771" s="7" t="s">
        <v>261</v>
      </c>
      <c r="I771" s="7" t="s">
        <v>261</v>
      </c>
      <c r="J771" s="7" t="str">
        <f>IFERROR(__xludf.DUMMYFUNCTION("GOOGLETRANSLATE($I771, ""de"", ""en"")"),"NO SALARY DATA")</f>
        <v>NO SALARY DATA</v>
      </c>
      <c r="K771" s="7" t="s">
        <v>261</v>
      </c>
      <c r="L771" s="7" t="s">
        <v>558</v>
      </c>
      <c r="M771" s="7" t="s">
        <v>263</v>
      </c>
      <c r="N771" s="7" t="s">
        <v>260</v>
      </c>
      <c r="O771" s="7"/>
      <c r="P771" s="35"/>
      <c r="Q771" s="7"/>
    </row>
    <row r="772">
      <c r="A772" s="7">
        <v>767.0</v>
      </c>
      <c r="B772" s="7" t="s">
        <v>324</v>
      </c>
      <c r="C772" s="7" t="str">
        <f>IFERROR(__xludf.DUMMYFUNCTION("GOOGLETRANSLATE($B772, $A$2, $B$2)"),"3 days ago")</f>
        <v>3 days ago</v>
      </c>
      <c r="D772" s="7" t="s">
        <v>1750</v>
      </c>
      <c r="E772" s="7" t="s">
        <v>348</v>
      </c>
      <c r="F772" s="7" t="s">
        <v>1181</v>
      </c>
      <c r="G772" s="7" t="s">
        <v>260</v>
      </c>
      <c r="H772" s="7" t="s">
        <v>261</v>
      </c>
      <c r="I772" s="7" t="s">
        <v>261</v>
      </c>
      <c r="J772" s="7" t="str">
        <f>IFERROR(__xludf.DUMMYFUNCTION("GOOGLETRANSLATE($I772, ""de"", ""en"")"),"NO SALARY DATA")</f>
        <v>NO SALARY DATA</v>
      </c>
      <c r="K772" s="7" t="s">
        <v>261</v>
      </c>
      <c r="L772" s="7" t="s">
        <v>728</v>
      </c>
      <c r="M772" s="7" t="s">
        <v>263</v>
      </c>
      <c r="N772" s="7" t="s">
        <v>264</v>
      </c>
      <c r="O772" s="7"/>
      <c r="P772" s="35"/>
      <c r="Q772" s="7"/>
    </row>
    <row r="773">
      <c r="A773" s="7">
        <v>768.0</v>
      </c>
      <c r="B773" s="7" t="s">
        <v>442</v>
      </c>
      <c r="C773" s="7" t="str">
        <f>IFERROR(__xludf.DUMMYFUNCTION("GOOGLETRANSLATE($B773, $A$2, $B$2)"),"26 days ago")</f>
        <v>26 days ago</v>
      </c>
      <c r="D773" s="7" t="s">
        <v>1697</v>
      </c>
      <c r="E773" s="7" t="s">
        <v>271</v>
      </c>
      <c r="F773" s="7" t="s">
        <v>478</v>
      </c>
      <c r="G773" s="7" t="s">
        <v>260</v>
      </c>
      <c r="H773" s="7" t="s">
        <v>261</v>
      </c>
      <c r="I773" s="7" t="s">
        <v>261</v>
      </c>
      <c r="J773" s="7" t="str">
        <f>IFERROR(__xludf.DUMMYFUNCTION("GOOGLETRANSLATE($I773, ""de"", ""en"")"),"NO SALARY DATA")</f>
        <v>NO SALARY DATA</v>
      </c>
      <c r="K773" s="7" t="s">
        <v>261</v>
      </c>
      <c r="L773" s="7" t="s">
        <v>500</v>
      </c>
      <c r="M773" s="7" t="s">
        <v>263</v>
      </c>
      <c r="N773" s="7" t="s">
        <v>336</v>
      </c>
      <c r="O773" s="7"/>
      <c r="P773" s="35"/>
      <c r="Q773" s="7"/>
    </row>
    <row r="774">
      <c r="A774" s="7">
        <v>769.0</v>
      </c>
      <c r="B774" s="7" t="s">
        <v>265</v>
      </c>
      <c r="C774" s="7" t="str">
        <f>IFERROR(__xludf.DUMMYFUNCTION("GOOGLETRANSLATE($B774, $A$2, $B$2)"),"More than 30 days ago")</f>
        <v>More than 30 days ago</v>
      </c>
      <c r="D774" s="7" t="s">
        <v>685</v>
      </c>
      <c r="E774" s="7" t="s">
        <v>669</v>
      </c>
      <c r="F774" s="7" t="s">
        <v>1751</v>
      </c>
      <c r="G774" s="7" t="s">
        <v>260</v>
      </c>
      <c r="H774" s="7" t="s">
        <v>261</v>
      </c>
      <c r="I774" s="7" t="s">
        <v>261</v>
      </c>
      <c r="J774" s="7" t="str">
        <f>IFERROR(__xludf.DUMMYFUNCTION("GOOGLETRANSLATE($I774, ""de"", ""en"")"),"NO SALARY DATA")</f>
        <v>NO SALARY DATA</v>
      </c>
      <c r="K774" s="7" t="s">
        <v>261</v>
      </c>
      <c r="L774" s="7"/>
      <c r="M774" s="7" t="s">
        <v>263</v>
      </c>
      <c r="N774" s="7" t="s">
        <v>301</v>
      </c>
      <c r="O774" s="7"/>
      <c r="P774" s="37"/>
      <c r="Q774" s="7"/>
    </row>
    <row r="775">
      <c r="A775" s="7">
        <v>770.0</v>
      </c>
      <c r="B775" s="7" t="s">
        <v>302</v>
      </c>
      <c r="C775" s="7" t="str">
        <f>IFERROR(__xludf.DUMMYFUNCTION("GOOGLETRANSLATE($B775, $A$2, $B$2)"),"today")</f>
        <v>today</v>
      </c>
      <c r="D775" s="7" t="s">
        <v>1752</v>
      </c>
      <c r="E775" s="7" t="s">
        <v>1300</v>
      </c>
      <c r="F775" s="7" t="s">
        <v>1753</v>
      </c>
      <c r="G775" s="7" t="s">
        <v>260</v>
      </c>
      <c r="H775" s="7" t="s">
        <v>261</v>
      </c>
      <c r="I775" s="7" t="s">
        <v>261</v>
      </c>
      <c r="J775" s="7" t="str">
        <f>IFERROR(__xludf.DUMMYFUNCTION("GOOGLETRANSLATE($I775, ""de"", ""en"")"),"NO SALARY DATA")</f>
        <v>NO SALARY DATA</v>
      </c>
      <c r="K775" s="7" t="s">
        <v>261</v>
      </c>
      <c r="L775" s="7"/>
      <c r="M775" s="7" t="s">
        <v>263</v>
      </c>
      <c r="N775" s="7" t="s">
        <v>260</v>
      </c>
      <c r="O775" s="7"/>
      <c r="P775" s="37"/>
      <c r="Q775" s="7"/>
    </row>
    <row r="776">
      <c r="A776" s="7">
        <v>771.0</v>
      </c>
      <c r="B776" s="7" t="s">
        <v>346</v>
      </c>
      <c r="C776" s="7" t="str">
        <f>IFERROR(__xludf.DUMMYFUNCTION("GOOGLETRANSLATE($B776, $A$2, $B$2)"),"12 days ago")</f>
        <v>12 days ago</v>
      </c>
      <c r="D776" s="7" t="s">
        <v>534</v>
      </c>
      <c r="E776" s="7" t="s">
        <v>535</v>
      </c>
      <c r="F776" s="7" t="s">
        <v>536</v>
      </c>
      <c r="G776" s="7" t="s">
        <v>260</v>
      </c>
      <c r="H776" s="7" t="s">
        <v>261</v>
      </c>
      <c r="I776" s="7" t="s">
        <v>261</v>
      </c>
      <c r="J776" s="7" t="str">
        <f>IFERROR(__xludf.DUMMYFUNCTION("GOOGLETRANSLATE($I776, ""de"", ""en"")"),"NO SALARY DATA")</f>
        <v>NO SALARY DATA</v>
      </c>
      <c r="K776" s="7" t="s">
        <v>261</v>
      </c>
      <c r="L776" s="7" t="s">
        <v>537</v>
      </c>
      <c r="M776" s="7" t="s">
        <v>263</v>
      </c>
      <c r="N776" s="7" t="s">
        <v>260</v>
      </c>
      <c r="O776" s="7"/>
      <c r="P776" s="37"/>
      <c r="Q776" s="7"/>
    </row>
    <row r="777">
      <c r="A777" s="7">
        <v>772.0</v>
      </c>
      <c r="B777" s="7" t="s">
        <v>392</v>
      </c>
      <c r="C777" s="7" t="str">
        <f>IFERROR(__xludf.DUMMYFUNCTION("GOOGLETRANSLATE($B777, $A$2, $B$2)"),"10 days ago")</f>
        <v>10 days ago</v>
      </c>
      <c r="D777" s="7" t="s">
        <v>1340</v>
      </c>
      <c r="E777" s="7" t="s">
        <v>483</v>
      </c>
      <c r="F777" s="7" t="s">
        <v>1426</v>
      </c>
      <c r="G777" s="7" t="s">
        <v>260</v>
      </c>
      <c r="H777" s="7" t="s">
        <v>261</v>
      </c>
      <c r="I777" s="7" t="s">
        <v>261</v>
      </c>
      <c r="J777" s="7" t="str">
        <f>IFERROR(__xludf.DUMMYFUNCTION("GOOGLETRANSLATE($I777, ""de"", ""en"")"),"NO SALARY DATA")</f>
        <v>NO SALARY DATA</v>
      </c>
      <c r="K777" s="7" t="s">
        <v>261</v>
      </c>
      <c r="L777" s="7"/>
      <c r="M777" s="7" t="s">
        <v>263</v>
      </c>
      <c r="N777" s="7" t="s">
        <v>260</v>
      </c>
      <c r="O777" s="7"/>
      <c r="P777" s="37"/>
      <c r="Q777" s="7"/>
    </row>
    <row r="778">
      <c r="A778" s="7">
        <v>773.0</v>
      </c>
      <c r="B778" s="7" t="s">
        <v>265</v>
      </c>
      <c r="C778" s="7" t="str">
        <f>IFERROR(__xludf.DUMMYFUNCTION("GOOGLETRANSLATE($B778, $A$2, $B$2)"),"More than 30 days ago")</f>
        <v>More than 30 days ago</v>
      </c>
      <c r="D778" s="7" t="s">
        <v>1754</v>
      </c>
      <c r="E778" s="7" t="s">
        <v>1755</v>
      </c>
      <c r="F778" s="7" t="s">
        <v>1756</v>
      </c>
      <c r="G778" s="7" t="s">
        <v>260</v>
      </c>
      <c r="H778" s="7" t="s">
        <v>261</v>
      </c>
      <c r="I778" s="7" t="s">
        <v>261</v>
      </c>
      <c r="J778" s="7" t="str">
        <f>IFERROR(__xludf.DUMMYFUNCTION("GOOGLETRANSLATE($I778, ""de"", ""en"")"),"NO SALARY DATA")</f>
        <v>NO SALARY DATA</v>
      </c>
      <c r="K778" s="7" t="s">
        <v>261</v>
      </c>
      <c r="L778" s="7" t="s">
        <v>312</v>
      </c>
      <c r="M778" s="7" t="s">
        <v>263</v>
      </c>
      <c r="N778" s="7" t="s">
        <v>260</v>
      </c>
      <c r="O778" s="7"/>
      <c r="P778" s="35"/>
      <c r="Q778" s="7"/>
    </row>
    <row r="779">
      <c r="A779" s="7">
        <v>774.0</v>
      </c>
      <c r="B779" s="7" t="s">
        <v>265</v>
      </c>
      <c r="C779" s="7" t="str">
        <f>IFERROR(__xludf.DUMMYFUNCTION("GOOGLETRANSLATE($B779, $A$2, $B$2)"),"More than 30 days ago")</f>
        <v>More than 30 days ago</v>
      </c>
      <c r="D779" s="7" t="s">
        <v>1757</v>
      </c>
      <c r="E779" s="7" t="s">
        <v>271</v>
      </c>
      <c r="F779" s="7" t="s">
        <v>1758</v>
      </c>
      <c r="G779" s="7" t="s">
        <v>260</v>
      </c>
      <c r="H779" s="7" t="s">
        <v>261</v>
      </c>
      <c r="I779" s="7" t="s">
        <v>261</v>
      </c>
      <c r="J779" s="7" t="str">
        <f>IFERROR(__xludf.DUMMYFUNCTION("GOOGLETRANSLATE($I779, ""de"", ""en"")"),"NO SALARY DATA")</f>
        <v>NO SALARY DATA</v>
      </c>
      <c r="K779" s="7" t="s">
        <v>261</v>
      </c>
      <c r="L779" s="7" t="s">
        <v>777</v>
      </c>
      <c r="M779" s="7" t="s">
        <v>263</v>
      </c>
      <c r="N779" s="7" t="s">
        <v>301</v>
      </c>
      <c r="O779" s="7"/>
      <c r="P779" s="35"/>
      <c r="Q779" s="7"/>
    </row>
    <row r="780">
      <c r="A780" s="7">
        <v>775.0</v>
      </c>
      <c r="B780" s="7" t="s">
        <v>341</v>
      </c>
      <c r="C780" s="7" t="str">
        <f>IFERROR(__xludf.DUMMYFUNCTION("GOOGLETRANSLATE($B780, $A$2, $B$2)"),"before 14 days")</f>
        <v>before 14 days</v>
      </c>
      <c r="D780" s="7" t="s">
        <v>306</v>
      </c>
      <c r="E780" s="7" t="s">
        <v>1759</v>
      </c>
      <c r="F780" s="7" t="s">
        <v>1760</v>
      </c>
      <c r="G780" s="7" t="s">
        <v>260</v>
      </c>
      <c r="H780" s="7" t="s">
        <v>261</v>
      </c>
      <c r="I780" s="7" t="s">
        <v>261</v>
      </c>
      <c r="J780" s="7" t="str">
        <f>IFERROR(__xludf.DUMMYFUNCTION("GOOGLETRANSLATE($I780, ""de"", ""en"")"),"NO SALARY DATA")</f>
        <v>NO SALARY DATA</v>
      </c>
      <c r="K780" s="7" t="s">
        <v>261</v>
      </c>
      <c r="L780" s="7" t="s">
        <v>558</v>
      </c>
      <c r="M780" s="7" t="s">
        <v>263</v>
      </c>
      <c r="N780" s="7" t="s">
        <v>275</v>
      </c>
      <c r="O780" s="7"/>
      <c r="P780" s="35"/>
      <c r="Q780" s="7"/>
    </row>
    <row r="781">
      <c r="A781" s="7">
        <v>776.0</v>
      </c>
      <c r="B781" s="7" t="s">
        <v>265</v>
      </c>
      <c r="C781" s="7" t="str">
        <f>IFERROR(__xludf.DUMMYFUNCTION("GOOGLETRANSLATE($B781, $A$2, $B$2)"),"More than 30 days ago")</f>
        <v>More than 30 days ago</v>
      </c>
      <c r="D781" s="7" t="s">
        <v>1761</v>
      </c>
      <c r="E781" s="7" t="s">
        <v>271</v>
      </c>
      <c r="F781" s="7" t="s">
        <v>1762</v>
      </c>
      <c r="G781" s="7" t="s">
        <v>260</v>
      </c>
      <c r="H781" s="7" t="s">
        <v>261</v>
      </c>
      <c r="I781" s="7" t="s">
        <v>261</v>
      </c>
      <c r="J781" s="7" t="str">
        <f>IFERROR(__xludf.DUMMYFUNCTION("GOOGLETRANSLATE($I781, ""de"", ""en"")"),"NO SALARY DATA")</f>
        <v>NO SALARY DATA</v>
      </c>
      <c r="K781" s="7" t="s">
        <v>261</v>
      </c>
      <c r="L781" s="7" t="s">
        <v>954</v>
      </c>
      <c r="M781" s="7" t="s">
        <v>263</v>
      </c>
      <c r="N781" s="7" t="s">
        <v>434</v>
      </c>
      <c r="O781" s="7"/>
      <c r="P781" s="35"/>
      <c r="Q781" s="7"/>
    </row>
    <row r="782">
      <c r="A782" s="7">
        <v>777.0</v>
      </c>
      <c r="B782" s="7" t="s">
        <v>269</v>
      </c>
      <c r="C782" s="7" t="str">
        <f>IFERROR(__xludf.DUMMYFUNCTION("GOOGLETRANSLATE($B782, $A$2, $B$2)"),"5 days ago")</f>
        <v>5 days ago</v>
      </c>
      <c r="D782" s="7" t="s">
        <v>1763</v>
      </c>
      <c r="E782" s="7" t="s">
        <v>258</v>
      </c>
      <c r="F782" s="7" t="s">
        <v>821</v>
      </c>
      <c r="G782" s="7" t="s">
        <v>260</v>
      </c>
      <c r="H782" s="7" t="s">
        <v>261</v>
      </c>
      <c r="I782" s="7" t="s">
        <v>261</v>
      </c>
      <c r="J782" s="7" t="str">
        <f>IFERROR(__xludf.DUMMYFUNCTION("GOOGLETRANSLATE($I782, ""de"", ""en"")"),"NO SALARY DATA")</f>
        <v>NO SALARY DATA</v>
      </c>
      <c r="K782" s="7" t="s">
        <v>261</v>
      </c>
      <c r="L782" s="7" t="s">
        <v>1714</v>
      </c>
      <c r="M782" s="7" t="s">
        <v>263</v>
      </c>
      <c r="N782" s="7" t="s">
        <v>301</v>
      </c>
      <c r="O782" s="7"/>
      <c r="P782" s="35"/>
      <c r="Q782" s="7"/>
    </row>
    <row r="783">
      <c r="A783" s="7">
        <v>778.0</v>
      </c>
      <c r="B783" s="7" t="s">
        <v>621</v>
      </c>
      <c r="C783" s="7" t="str">
        <f>IFERROR(__xludf.DUMMYFUNCTION("GOOGLETRANSLATE($B783, $A$2, $B$2)"),"20 days ago")</f>
        <v>20 days ago</v>
      </c>
      <c r="D783" s="7" t="s">
        <v>1764</v>
      </c>
      <c r="E783" s="7" t="s">
        <v>348</v>
      </c>
      <c r="F783" s="7" t="s">
        <v>659</v>
      </c>
      <c r="G783" s="7" t="s">
        <v>260</v>
      </c>
      <c r="H783" s="7" t="s">
        <v>261</v>
      </c>
      <c r="I783" s="7" t="s">
        <v>261</v>
      </c>
      <c r="J783" s="7" t="str">
        <f>IFERROR(__xludf.DUMMYFUNCTION("GOOGLETRANSLATE($I783, ""de"", ""en"")"),"NO SALARY DATA")</f>
        <v>NO SALARY DATA</v>
      </c>
      <c r="K783" s="7" t="s">
        <v>261</v>
      </c>
      <c r="L783" s="7" t="s">
        <v>660</v>
      </c>
      <c r="M783" s="7" t="s">
        <v>263</v>
      </c>
      <c r="N783" s="7" t="s">
        <v>275</v>
      </c>
      <c r="O783" s="7"/>
      <c r="P783" s="37"/>
      <c r="Q783" s="7"/>
    </row>
    <row r="784">
      <c r="A784" s="7">
        <v>779.0</v>
      </c>
      <c r="B784" s="7" t="s">
        <v>324</v>
      </c>
      <c r="C784" s="7" t="str">
        <f>IFERROR(__xludf.DUMMYFUNCTION("GOOGLETRANSLATE($B784, $A$2, $B$2)"),"3 days ago")</f>
        <v>3 days ago</v>
      </c>
      <c r="D784" s="7" t="s">
        <v>1765</v>
      </c>
      <c r="E784" s="7" t="s">
        <v>271</v>
      </c>
      <c r="F784" s="7" t="s">
        <v>1263</v>
      </c>
      <c r="G784" s="7" t="s">
        <v>260</v>
      </c>
      <c r="H784" s="7" t="s">
        <v>261</v>
      </c>
      <c r="I784" s="7" t="s">
        <v>261</v>
      </c>
      <c r="J784" s="7" t="str">
        <f>IFERROR(__xludf.DUMMYFUNCTION("GOOGLETRANSLATE($I784, ""de"", ""en"")"),"NO SALARY DATA")</f>
        <v>NO SALARY DATA</v>
      </c>
      <c r="K784" s="7" t="s">
        <v>261</v>
      </c>
      <c r="L784" s="7" t="s">
        <v>433</v>
      </c>
      <c r="M784" s="7" t="s">
        <v>263</v>
      </c>
      <c r="N784" s="7" t="s">
        <v>260</v>
      </c>
      <c r="O784" s="7"/>
      <c r="P784" s="35"/>
      <c r="Q784" s="7"/>
    </row>
    <row r="785">
      <c r="A785" s="7">
        <v>780.0</v>
      </c>
      <c r="B785" s="7" t="s">
        <v>265</v>
      </c>
      <c r="C785" s="7" t="str">
        <f>IFERROR(__xludf.DUMMYFUNCTION("GOOGLETRANSLATE($B785, $A$2, $B$2)"),"More than 30 days ago")</f>
        <v>More than 30 days ago</v>
      </c>
      <c r="D785" s="7" t="s">
        <v>903</v>
      </c>
      <c r="E785" s="7" t="s">
        <v>271</v>
      </c>
      <c r="F785" s="7" t="s">
        <v>478</v>
      </c>
      <c r="G785" s="7" t="s">
        <v>260</v>
      </c>
      <c r="H785" s="7" t="s">
        <v>261</v>
      </c>
      <c r="I785" s="7" t="s">
        <v>261</v>
      </c>
      <c r="J785" s="7" t="str">
        <f>IFERROR(__xludf.DUMMYFUNCTION("GOOGLETRANSLATE($I785, ""de"", ""en"")"),"NO SALARY DATA")</f>
        <v>NO SALARY DATA</v>
      </c>
      <c r="K785" s="7" t="s">
        <v>261</v>
      </c>
      <c r="L785" s="7" t="s">
        <v>423</v>
      </c>
      <c r="M785" s="7" t="s">
        <v>263</v>
      </c>
      <c r="N785" s="7" t="s">
        <v>336</v>
      </c>
      <c r="O785" s="7"/>
      <c r="P785" s="35"/>
      <c r="Q785" s="7"/>
    </row>
    <row r="786">
      <c r="A786" s="7">
        <v>781.0</v>
      </c>
      <c r="B786" s="7" t="s">
        <v>265</v>
      </c>
      <c r="C786" s="7" t="str">
        <f>IFERROR(__xludf.DUMMYFUNCTION("GOOGLETRANSLATE($B786, $A$2, $B$2)"),"More than 30 days ago")</f>
        <v>More than 30 days ago</v>
      </c>
      <c r="D786" s="7" t="s">
        <v>1766</v>
      </c>
      <c r="E786" s="7" t="s">
        <v>1767</v>
      </c>
      <c r="F786" s="7" t="s">
        <v>1768</v>
      </c>
      <c r="G786" s="7" t="s">
        <v>260</v>
      </c>
      <c r="H786" s="7" t="s">
        <v>261</v>
      </c>
      <c r="I786" s="7" t="s">
        <v>261</v>
      </c>
      <c r="J786" s="7" t="str">
        <f>IFERROR(__xludf.DUMMYFUNCTION("GOOGLETRANSLATE($I786, ""de"", ""en"")"),"NO SALARY DATA")</f>
        <v>NO SALARY DATA</v>
      </c>
      <c r="K786" s="7" t="s">
        <v>261</v>
      </c>
      <c r="L786" s="7" t="s">
        <v>1769</v>
      </c>
      <c r="M786" s="7" t="s">
        <v>263</v>
      </c>
      <c r="N786" s="7" t="s">
        <v>434</v>
      </c>
      <c r="O786" s="7"/>
      <c r="P786" s="35"/>
      <c r="Q786" s="7"/>
    </row>
    <row r="787">
      <c r="A787" s="7">
        <v>782.0</v>
      </c>
      <c r="B787" s="7" t="s">
        <v>324</v>
      </c>
      <c r="C787" s="7" t="str">
        <f>IFERROR(__xludf.DUMMYFUNCTION("GOOGLETRANSLATE($B787, $A$2, $B$2)"),"3 days ago")</f>
        <v>3 days ago</v>
      </c>
      <c r="D787" s="7" t="s">
        <v>1770</v>
      </c>
      <c r="E787" s="7" t="s">
        <v>1771</v>
      </c>
      <c r="F787" s="7" t="s">
        <v>1772</v>
      </c>
      <c r="G787" s="7" t="s">
        <v>260</v>
      </c>
      <c r="H787" s="7" t="s">
        <v>261</v>
      </c>
      <c r="I787" s="7" t="s">
        <v>261</v>
      </c>
      <c r="J787" s="7" t="str">
        <f>IFERROR(__xludf.DUMMYFUNCTION("GOOGLETRANSLATE($I787, ""de"", ""en"")"),"NO SALARY DATA")</f>
        <v>NO SALARY DATA</v>
      </c>
      <c r="K787" s="7" t="s">
        <v>261</v>
      </c>
      <c r="L787" s="7"/>
      <c r="M787" s="7" t="s">
        <v>263</v>
      </c>
      <c r="N787" s="7" t="s">
        <v>725</v>
      </c>
      <c r="O787" s="7"/>
      <c r="P787" s="37"/>
      <c r="Q787" s="7"/>
    </row>
    <row r="788">
      <c r="A788" s="7">
        <v>783.0</v>
      </c>
      <c r="B788" s="7" t="s">
        <v>265</v>
      </c>
      <c r="C788" s="7" t="str">
        <f>IFERROR(__xludf.DUMMYFUNCTION("GOOGLETRANSLATE($B788, $A$2, $B$2)"),"More than 30 days ago")</f>
        <v>More than 30 days ago</v>
      </c>
      <c r="D788" s="7" t="s">
        <v>1773</v>
      </c>
      <c r="E788" s="7" t="s">
        <v>408</v>
      </c>
      <c r="F788" s="7" t="s">
        <v>1635</v>
      </c>
      <c r="G788" s="7" t="s">
        <v>260</v>
      </c>
      <c r="H788" s="7" t="s">
        <v>261</v>
      </c>
      <c r="I788" s="7" t="s">
        <v>261</v>
      </c>
      <c r="J788" s="7" t="str">
        <f>IFERROR(__xludf.DUMMYFUNCTION("GOOGLETRANSLATE($I788, ""de"", ""en"")"),"NO SALARY DATA")</f>
        <v>NO SALARY DATA</v>
      </c>
      <c r="K788" s="7" t="s">
        <v>261</v>
      </c>
      <c r="L788" s="7" t="s">
        <v>1774</v>
      </c>
      <c r="M788" s="7" t="s">
        <v>263</v>
      </c>
      <c r="N788" s="7" t="s">
        <v>260</v>
      </c>
      <c r="O788" s="7"/>
      <c r="P788" s="37"/>
      <c r="Q788" s="7"/>
    </row>
    <row r="789">
      <c r="A789" s="7">
        <v>784.0</v>
      </c>
      <c r="B789" s="7" t="s">
        <v>379</v>
      </c>
      <c r="C789" s="7" t="str">
        <f>IFERROR(__xludf.DUMMYFUNCTION("GOOGLETRANSLATE($B789, $A$2, $B$2)"),"13 days ago")</f>
        <v>13 days ago</v>
      </c>
      <c r="D789" s="7" t="s">
        <v>1405</v>
      </c>
      <c r="E789" s="7" t="s">
        <v>1406</v>
      </c>
      <c r="F789" s="7" t="s">
        <v>1407</v>
      </c>
      <c r="G789" s="7" t="s">
        <v>260</v>
      </c>
      <c r="H789" s="7" t="s">
        <v>261</v>
      </c>
      <c r="I789" s="7" t="s">
        <v>261</v>
      </c>
      <c r="J789" s="7" t="str">
        <f>IFERROR(__xludf.DUMMYFUNCTION("GOOGLETRANSLATE($I789, ""de"", ""en"")"),"NO SALARY DATA")</f>
        <v>NO SALARY DATA</v>
      </c>
      <c r="K789" s="7" t="s">
        <v>261</v>
      </c>
      <c r="L789" s="7" t="s">
        <v>1408</v>
      </c>
      <c r="M789" s="7" t="s">
        <v>263</v>
      </c>
      <c r="N789" s="7" t="s">
        <v>260</v>
      </c>
      <c r="O789" s="7"/>
      <c r="P789" s="37"/>
      <c r="Q789" s="7"/>
    </row>
    <row r="790">
      <c r="A790" s="7">
        <v>785.0</v>
      </c>
      <c r="B790" s="7" t="s">
        <v>265</v>
      </c>
      <c r="C790" s="7" t="str">
        <f>IFERROR(__xludf.DUMMYFUNCTION("GOOGLETRANSLATE($B790, $A$2, $B$2)"),"More than 30 days ago")</f>
        <v>More than 30 days ago</v>
      </c>
      <c r="D790" s="7" t="s">
        <v>706</v>
      </c>
      <c r="E790" s="7" t="s">
        <v>408</v>
      </c>
      <c r="F790" s="7" t="s">
        <v>1775</v>
      </c>
      <c r="G790" s="7" t="s">
        <v>260</v>
      </c>
      <c r="H790" s="7" t="s">
        <v>261</v>
      </c>
      <c r="I790" s="7" t="s">
        <v>261</v>
      </c>
      <c r="J790" s="7" t="str">
        <f>IFERROR(__xludf.DUMMYFUNCTION("GOOGLETRANSLATE($I790, ""de"", ""en"")"),"NO SALARY DATA")</f>
        <v>NO SALARY DATA</v>
      </c>
      <c r="K790" s="7" t="s">
        <v>261</v>
      </c>
      <c r="L790" s="7" t="s">
        <v>485</v>
      </c>
      <c r="M790" s="7" t="s">
        <v>263</v>
      </c>
      <c r="N790" s="7" t="s">
        <v>260</v>
      </c>
      <c r="O790" s="7"/>
      <c r="P790" s="37"/>
      <c r="Q790" s="7"/>
    </row>
    <row r="791">
      <c r="A791" s="7">
        <v>786.0</v>
      </c>
      <c r="B791" s="7" t="s">
        <v>324</v>
      </c>
      <c r="C791" s="7" t="str">
        <f>IFERROR(__xludf.DUMMYFUNCTION("GOOGLETRANSLATE($B791, $A$2, $B$2)"),"3 days ago")</f>
        <v>3 days ago</v>
      </c>
      <c r="D791" s="7" t="s">
        <v>1776</v>
      </c>
      <c r="E791" s="7" t="s">
        <v>348</v>
      </c>
      <c r="F791" s="7" t="s">
        <v>349</v>
      </c>
      <c r="G791" s="7" t="s">
        <v>260</v>
      </c>
      <c r="H791" s="7" t="s">
        <v>261</v>
      </c>
      <c r="I791" s="7" t="s">
        <v>261</v>
      </c>
      <c r="J791" s="7" t="str">
        <f>IFERROR(__xludf.DUMMYFUNCTION("GOOGLETRANSLATE($I791, ""de"", ""en"")"),"NO SALARY DATA")</f>
        <v>NO SALARY DATA</v>
      </c>
      <c r="K791" s="7" t="s">
        <v>261</v>
      </c>
      <c r="L791" s="7" t="s">
        <v>389</v>
      </c>
      <c r="M791" s="7" t="s">
        <v>673</v>
      </c>
      <c r="N791" s="7" t="s">
        <v>260</v>
      </c>
      <c r="O791" s="7"/>
      <c r="P791" s="35"/>
      <c r="Q791" s="7"/>
    </row>
    <row r="792">
      <c r="A792" s="7">
        <v>787.0</v>
      </c>
      <c r="B792" s="7" t="s">
        <v>892</v>
      </c>
      <c r="C792" s="7" t="str">
        <f>IFERROR(__xludf.DUMMYFUNCTION("GOOGLETRANSLATE($B792, $A$2, $B$2)"),"25 days ago")</f>
        <v>25 days ago</v>
      </c>
      <c r="D792" s="7" t="s">
        <v>1777</v>
      </c>
      <c r="E792" s="7" t="s">
        <v>1778</v>
      </c>
      <c r="F792" s="7" t="s">
        <v>1779</v>
      </c>
      <c r="G792" s="7" t="s">
        <v>260</v>
      </c>
      <c r="H792" s="7" t="s">
        <v>261</v>
      </c>
      <c r="I792" s="7" t="s">
        <v>261</v>
      </c>
      <c r="J792" s="7" t="str">
        <f>IFERROR(__xludf.DUMMYFUNCTION("GOOGLETRANSLATE($I792, ""de"", ""en"")"),"NO SALARY DATA")</f>
        <v>NO SALARY DATA</v>
      </c>
      <c r="K792" s="7" t="s">
        <v>261</v>
      </c>
      <c r="L792" s="7" t="s">
        <v>286</v>
      </c>
      <c r="M792" s="7" t="s">
        <v>263</v>
      </c>
      <c r="N792" s="7" t="s">
        <v>611</v>
      </c>
      <c r="O792" s="7"/>
      <c r="P792" s="37"/>
      <c r="Q792" s="7"/>
    </row>
    <row r="793">
      <c r="A793" s="7">
        <v>788.0</v>
      </c>
      <c r="B793" s="7" t="s">
        <v>265</v>
      </c>
      <c r="C793" s="7" t="str">
        <f>IFERROR(__xludf.DUMMYFUNCTION("GOOGLETRANSLATE($B793, $A$2, $B$2)"),"More than 30 days ago")</f>
        <v>More than 30 days ago</v>
      </c>
      <c r="D793" s="7" t="s">
        <v>685</v>
      </c>
      <c r="E793" s="7" t="s">
        <v>480</v>
      </c>
      <c r="F793" s="7" t="s">
        <v>1780</v>
      </c>
      <c r="G793" s="7" t="s">
        <v>260</v>
      </c>
      <c r="H793" s="7" t="s">
        <v>261</v>
      </c>
      <c r="I793" s="7" t="s">
        <v>261</v>
      </c>
      <c r="J793" s="7" t="str">
        <f>IFERROR(__xludf.DUMMYFUNCTION("GOOGLETRANSLATE($I793, ""de"", ""en"")"),"NO SALARY DATA")</f>
        <v>NO SALARY DATA</v>
      </c>
      <c r="K793" s="7" t="s">
        <v>261</v>
      </c>
      <c r="L793" s="7" t="s">
        <v>282</v>
      </c>
      <c r="M793" s="7" t="s">
        <v>263</v>
      </c>
      <c r="N793" s="7" t="s">
        <v>260</v>
      </c>
      <c r="O793" s="7"/>
      <c r="P793" s="37"/>
      <c r="Q793" s="7"/>
    </row>
    <row r="794">
      <c r="A794" s="7">
        <v>789.0</v>
      </c>
      <c r="B794" s="7" t="s">
        <v>265</v>
      </c>
      <c r="C794" s="7" t="str">
        <f>IFERROR(__xludf.DUMMYFUNCTION("GOOGLETRANSLATE($B794, $A$2, $B$2)"),"More than 30 days ago")</f>
        <v>More than 30 days ago</v>
      </c>
      <c r="D794" s="7" t="s">
        <v>1781</v>
      </c>
      <c r="E794" s="7" t="s">
        <v>258</v>
      </c>
      <c r="F794" s="7" t="s">
        <v>1782</v>
      </c>
      <c r="G794" s="7" t="s">
        <v>260</v>
      </c>
      <c r="H794" s="7" t="s">
        <v>261</v>
      </c>
      <c r="I794" s="7" t="s">
        <v>261</v>
      </c>
      <c r="J794" s="7" t="str">
        <f>IFERROR(__xludf.DUMMYFUNCTION("GOOGLETRANSLATE($I794, ""de"", ""en"")"),"NO SALARY DATA")</f>
        <v>NO SALARY DATA</v>
      </c>
      <c r="K794" s="7" t="s">
        <v>261</v>
      </c>
      <c r="L794" s="7" t="s">
        <v>599</v>
      </c>
      <c r="M794" s="7" t="s">
        <v>263</v>
      </c>
      <c r="N794" s="7" t="s">
        <v>260</v>
      </c>
      <c r="O794" s="7"/>
      <c r="P794" s="37"/>
      <c r="Q794" s="7"/>
    </row>
    <row r="795">
      <c r="A795" s="7">
        <v>790.0</v>
      </c>
      <c r="B795" s="7" t="s">
        <v>621</v>
      </c>
      <c r="C795" s="7" t="str">
        <f>IFERROR(__xludf.DUMMYFUNCTION("GOOGLETRANSLATE($B795, $A$2, $B$2)"),"20 days ago")</f>
        <v>20 days ago</v>
      </c>
      <c r="D795" s="7" t="s">
        <v>1783</v>
      </c>
      <c r="E795" s="7" t="s">
        <v>258</v>
      </c>
      <c r="F795" s="7" t="s">
        <v>1784</v>
      </c>
      <c r="G795" s="7" t="s">
        <v>260</v>
      </c>
      <c r="H795" s="7" t="s">
        <v>261</v>
      </c>
      <c r="I795" s="7" t="s">
        <v>261</v>
      </c>
      <c r="J795" s="7" t="str">
        <f>IFERROR(__xludf.DUMMYFUNCTION("GOOGLETRANSLATE($I795, ""de"", ""en"")"),"NO SALARY DATA")</f>
        <v>NO SALARY DATA</v>
      </c>
      <c r="K795" s="7" t="s">
        <v>261</v>
      </c>
      <c r="L795" s="7" t="s">
        <v>777</v>
      </c>
      <c r="M795" s="7" t="s">
        <v>263</v>
      </c>
      <c r="N795" s="7" t="s">
        <v>260</v>
      </c>
      <c r="O795" s="7"/>
      <c r="P795" s="35"/>
      <c r="Q795" s="7"/>
    </row>
    <row r="796">
      <c r="A796" s="7">
        <v>791.0</v>
      </c>
      <c r="B796" s="7" t="s">
        <v>265</v>
      </c>
      <c r="C796" s="7" t="str">
        <f>IFERROR(__xludf.DUMMYFUNCTION("GOOGLETRANSLATE($B796, $A$2, $B$2)"),"More than 30 days ago")</f>
        <v>More than 30 days ago</v>
      </c>
      <c r="D796" s="7" t="s">
        <v>1785</v>
      </c>
      <c r="E796" s="7" t="s">
        <v>348</v>
      </c>
      <c r="F796" s="7" t="s">
        <v>1018</v>
      </c>
      <c r="G796" s="7" t="s">
        <v>260</v>
      </c>
      <c r="H796" s="7" t="s">
        <v>261</v>
      </c>
      <c r="I796" s="7" t="s">
        <v>261</v>
      </c>
      <c r="J796" s="7" t="str">
        <f>IFERROR(__xludf.DUMMYFUNCTION("GOOGLETRANSLATE($I796, ""de"", ""en"")"),"NO SALARY DATA")</f>
        <v>NO SALARY DATA</v>
      </c>
      <c r="K796" s="7" t="s">
        <v>261</v>
      </c>
      <c r="L796" s="7" t="s">
        <v>1373</v>
      </c>
      <c r="M796" s="7" t="s">
        <v>263</v>
      </c>
      <c r="N796" s="7" t="s">
        <v>819</v>
      </c>
      <c r="O796" s="7"/>
      <c r="P796" s="35"/>
      <c r="Q796" s="7"/>
    </row>
    <row r="797">
      <c r="A797" s="7">
        <v>792.0</v>
      </c>
      <c r="B797" s="7" t="s">
        <v>302</v>
      </c>
      <c r="C797" s="7" t="str">
        <f>IFERROR(__xludf.DUMMYFUNCTION("GOOGLETRANSLATE($B797, $A$2, $B$2)"),"today")</f>
        <v>today</v>
      </c>
      <c r="D797" s="7" t="s">
        <v>1786</v>
      </c>
      <c r="E797" s="7" t="s">
        <v>408</v>
      </c>
      <c r="F797" s="7" t="s">
        <v>1787</v>
      </c>
      <c r="G797" s="7" t="s">
        <v>260</v>
      </c>
      <c r="H797" s="7" t="s">
        <v>261</v>
      </c>
      <c r="I797" s="7" t="s">
        <v>261</v>
      </c>
      <c r="J797" s="7" t="str">
        <f>IFERROR(__xludf.DUMMYFUNCTION("GOOGLETRANSLATE($I797, ""de"", ""en"")"),"NO SALARY DATA")</f>
        <v>NO SALARY DATA</v>
      </c>
      <c r="K797" s="7" t="s">
        <v>261</v>
      </c>
      <c r="L797" s="7" t="s">
        <v>286</v>
      </c>
      <c r="M797" s="7" t="s">
        <v>263</v>
      </c>
      <c r="N797" s="7" t="s">
        <v>323</v>
      </c>
      <c r="O797" s="7"/>
      <c r="P797" s="37"/>
      <c r="Q797" s="7"/>
    </row>
    <row r="798">
      <c r="A798" s="7">
        <v>793.0</v>
      </c>
      <c r="B798" s="7" t="s">
        <v>265</v>
      </c>
      <c r="C798" s="7" t="str">
        <f>IFERROR(__xludf.DUMMYFUNCTION("GOOGLETRANSLATE($B798, $A$2, $B$2)"),"More than 30 days ago")</f>
        <v>More than 30 days ago</v>
      </c>
      <c r="D798" s="7" t="s">
        <v>1435</v>
      </c>
      <c r="E798" s="7" t="s">
        <v>280</v>
      </c>
      <c r="F798" s="7" t="s">
        <v>1436</v>
      </c>
      <c r="G798" s="7" t="s">
        <v>260</v>
      </c>
      <c r="H798" s="7" t="s">
        <v>261</v>
      </c>
      <c r="I798" s="7" t="s">
        <v>261</v>
      </c>
      <c r="J798" s="7" t="str">
        <f>IFERROR(__xludf.DUMMYFUNCTION("GOOGLETRANSLATE($I798, ""de"", ""en"")"),"NO SALARY DATA")</f>
        <v>NO SALARY DATA</v>
      </c>
      <c r="K798" s="7" t="s">
        <v>261</v>
      </c>
      <c r="L798" s="7" t="s">
        <v>345</v>
      </c>
      <c r="M798" s="7" t="s">
        <v>263</v>
      </c>
      <c r="N798" s="7" t="s">
        <v>260</v>
      </c>
      <c r="O798" s="7"/>
      <c r="P798" s="35"/>
      <c r="Q798" s="7"/>
    </row>
    <row r="799">
      <c r="A799" s="7">
        <v>794.0</v>
      </c>
      <c r="B799" s="7" t="s">
        <v>508</v>
      </c>
      <c r="C799" s="7" t="str">
        <f>IFERROR(__xludf.DUMMYFUNCTION("GOOGLETRANSLATE($B799, $A$2, $B$2)"),"24 days ago")</f>
        <v>24 days ago</v>
      </c>
      <c r="D799" s="7" t="s">
        <v>1788</v>
      </c>
      <c r="E799" s="7" t="s">
        <v>480</v>
      </c>
      <c r="F799" s="7" t="s">
        <v>642</v>
      </c>
      <c r="G799" s="7" t="s">
        <v>260</v>
      </c>
      <c r="H799" s="7" t="s">
        <v>261</v>
      </c>
      <c r="I799" s="7" t="s">
        <v>261</v>
      </c>
      <c r="J799" s="7" t="str">
        <f>IFERROR(__xludf.DUMMYFUNCTION("GOOGLETRANSLATE($I799, ""de"", ""en"")"),"NO SALARY DATA")</f>
        <v>NO SALARY DATA</v>
      </c>
      <c r="K799" s="7" t="s">
        <v>261</v>
      </c>
      <c r="L799" s="7" t="s">
        <v>1789</v>
      </c>
      <c r="M799" s="7" t="s">
        <v>263</v>
      </c>
      <c r="N799" s="7" t="s">
        <v>275</v>
      </c>
      <c r="O799" s="7"/>
      <c r="P799" s="35"/>
      <c r="Q799" s="7"/>
    </row>
    <row r="800">
      <c r="A800" s="7">
        <v>795.0</v>
      </c>
      <c r="B800" s="7" t="s">
        <v>508</v>
      </c>
      <c r="C800" s="7" t="str">
        <f>IFERROR(__xludf.DUMMYFUNCTION("GOOGLETRANSLATE($B800, $A$2, $B$2)"),"24 days ago")</f>
        <v>24 days ago</v>
      </c>
      <c r="D800" s="7" t="s">
        <v>1790</v>
      </c>
      <c r="E800" s="7" t="s">
        <v>348</v>
      </c>
      <c r="F800" s="7" t="s">
        <v>642</v>
      </c>
      <c r="G800" s="7" t="s">
        <v>260</v>
      </c>
      <c r="H800" s="7" t="s">
        <v>261</v>
      </c>
      <c r="I800" s="7" t="s">
        <v>261</v>
      </c>
      <c r="J800" s="7" t="str">
        <f>IFERROR(__xludf.DUMMYFUNCTION("GOOGLETRANSLATE($I800, ""de"", ""en"")"),"NO SALARY DATA")</f>
        <v>NO SALARY DATA</v>
      </c>
      <c r="K800" s="7" t="s">
        <v>261</v>
      </c>
      <c r="L800" s="7" t="s">
        <v>286</v>
      </c>
      <c r="M800" s="7" t="s">
        <v>263</v>
      </c>
      <c r="N800" s="7" t="s">
        <v>275</v>
      </c>
      <c r="O800" s="7"/>
      <c r="P800" s="37"/>
      <c r="Q800" s="7"/>
    </row>
    <row r="801">
      <c r="A801" s="7">
        <v>796.0</v>
      </c>
      <c r="B801" s="7" t="s">
        <v>265</v>
      </c>
      <c r="C801" s="7" t="str">
        <f>IFERROR(__xludf.DUMMYFUNCTION("GOOGLETRANSLATE($B801, $A$2, $B$2)"),"More than 30 days ago")</f>
        <v>More than 30 days ago</v>
      </c>
      <c r="D801" s="7" t="s">
        <v>1791</v>
      </c>
      <c r="E801" s="7" t="s">
        <v>483</v>
      </c>
      <c r="F801" s="7" t="s">
        <v>1792</v>
      </c>
      <c r="G801" s="7" t="s">
        <v>260</v>
      </c>
      <c r="H801" s="7" t="s">
        <v>261</v>
      </c>
      <c r="I801" s="7" t="s">
        <v>261</v>
      </c>
      <c r="J801" s="7" t="str">
        <f>IFERROR(__xludf.DUMMYFUNCTION("GOOGLETRANSLATE($I801, ""de"", ""en"")"),"NO SALARY DATA")</f>
        <v>NO SALARY DATA</v>
      </c>
      <c r="K801" s="7" t="s">
        <v>261</v>
      </c>
      <c r="L801" s="7"/>
      <c r="M801" s="7" t="s">
        <v>263</v>
      </c>
      <c r="N801" s="7" t="s">
        <v>260</v>
      </c>
      <c r="O801" s="7"/>
      <c r="P801" s="37"/>
      <c r="Q801" s="7"/>
    </row>
    <row r="802">
      <c r="A802" s="7">
        <v>797.0</v>
      </c>
      <c r="B802" s="7" t="s">
        <v>265</v>
      </c>
      <c r="C802" s="7" t="str">
        <f>IFERROR(__xludf.DUMMYFUNCTION("GOOGLETRANSLATE($B802, $A$2, $B$2)"),"More than 30 days ago")</f>
        <v>More than 30 days ago</v>
      </c>
      <c r="D802" s="7" t="s">
        <v>1793</v>
      </c>
      <c r="E802" s="7" t="s">
        <v>271</v>
      </c>
      <c r="F802" s="7" t="s">
        <v>1794</v>
      </c>
      <c r="G802" s="7" t="s">
        <v>260</v>
      </c>
      <c r="H802" s="7" t="s">
        <v>261</v>
      </c>
      <c r="I802" s="7" t="s">
        <v>261</v>
      </c>
      <c r="J802" s="7" t="str">
        <f>IFERROR(__xludf.DUMMYFUNCTION("GOOGLETRANSLATE($I802, ""de"", ""en"")"),"NO SALARY DATA")</f>
        <v>NO SALARY DATA</v>
      </c>
      <c r="K802" s="7" t="s">
        <v>261</v>
      </c>
      <c r="L802" s="7"/>
      <c r="M802" s="7" t="s">
        <v>263</v>
      </c>
      <c r="N802" s="7" t="s">
        <v>260</v>
      </c>
      <c r="O802" s="7"/>
      <c r="P802" s="37"/>
      <c r="Q802" s="7"/>
    </row>
    <row r="803">
      <c r="A803" s="7">
        <v>798.0</v>
      </c>
      <c r="B803" s="7" t="s">
        <v>346</v>
      </c>
      <c r="C803" s="7" t="str">
        <f>IFERROR(__xludf.DUMMYFUNCTION("GOOGLETRANSLATE($B803, $A$2, $B$2)"),"12 days ago")</f>
        <v>12 days ago</v>
      </c>
      <c r="D803" s="7" t="s">
        <v>1795</v>
      </c>
      <c r="E803" s="7" t="s">
        <v>858</v>
      </c>
      <c r="F803" s="7" t="s">
        <v>718</v>
      </c>
      <c r="G803" s="7" t="s">
        <v>260</v>
      </c>
      <c r="H803" s="7" t="s">
        <v>261</v>
      </c>
      <c r="I803" s="7" t="s">
        <v>261</v>
      </c>
      <c r="J803" s="7" t="str">
        <f>IFERROR(__xludf.DUMMYFUNCTION("GOOGLETRANSLATE($I803, ""de"", ""en"")"),"NO SALARY DATA")</f>
        <v>NO SALARY DATA</v>
      </c>
      <c r="K803" s="7" t="s">
        <v>261</v>
      </c>
      <c r="L803" s="7" t="s">
        <v>1631</v>
      </c>
      <c r="M803" s="7" t="s">
        <v>263</v>
      </c>
      <c r="N803" s="7" t="s">
        <v>260</v>
      </c>
      <c r="O803" s="7"/>
      <c r="P803" s="37"/>
      <c r="Q803" s="7"/>
    </row>
    <row r="804">
      <c r="A804" s="7">
        <v>799.0</v>
      </c>
      <c r="B804" s="7" t="s">
        <v>392</v>
      </c>
      <c r="C804" s="7" t="str">
        <f>IFERROR(__xludf.DUMMYFUNCTION("GOOGLETRANSLATE($B804, $A$2, $B$2)"),"10 days ago")</f>
        <v>10 days ago</v>
      </c>
      <c r="D804" s="7" t="s">
        <v>1796</v>
      </c>
      <c r="E804" s="7" t="s">
        <v>1797</v>
      </c>
      <c r="F804" s="7" t="s">
        <v>1798</v>
      </c>
      <c r="G804" s="7" t="s">
        <v>260</v>
      </c>
      <c r="H804" s="7" t="s">
        <v>261</v>
      </c>
      <c r="I804" s="7" t="s">
        <v>261</v>
      </c>
      <c r="J804" s="7" t="str">
        <f>IFERROR(__xludf.DUMMYFUNCTION("GOOGLETRANSLATE($I804, ""de"", ""en"")"),"NO SALARY DATA")</f>
        <v>NO SALARY DATA</v>
      </c>
      <c r="K804" s="7" t="s">
        <v>261</v>
      </c>
      <c r="L804" s="7" t="s">
        <v>777</v>
      </c>
      <c r="M804" s="7" t="s">
        <v>673</v>
      </c>
      <c r="N804" s="7" t="s">
        <v>260</v>
      </c>
      <c r="O804" s="7"/>
      <c r="P804" s="35"/>
      <c r="Q804" s="7"/>
    </row>
    <row r="805">
      <c r="A805" s="7">
        <v>800.0</v>
      </c>
      <c r="B805" s="7" t="s">
        <v>442</v>
      </c>
      <c r="C805" s="7" t="str">
        <f>IFERROR(__xludf.DUMMYFUNCTION("GOOGLETRANSLATE($B805, $A$2, $B$2)"),"26 days ago")</f>
        <v>26 days ago</v>
      </c>
      <c r="D805" s="7" t="s">
        <v>1697</v>
      </c>
      <c r="E805" s="7" t="s">
        <v>271</v>
      </c>
      <c r="F805" s="7" t="s">
        <v>904</v>
      </c>
      <c r="G805" s="7" t="s">
        <v>260</v>
      </c>
      <c r="H805" s="7" t="s">
        <v>261</v>
      </c>
      <c r="I805" s="7" t="s">
        <v>261</v>
      </c>
      <c r="J805" s="7" t="str">
        <f>IFERROR(__xludf.DUMMYFUNCTION("GOOGLETRANSLATE($I805, ""de"", ""en"")"),"NO SALARY DATA")</f>
        <v>NO SALARY DATA</v>
      </c>
      <c r="K805" s="7" t="s">
        <v>261</v>
      </c>
      <c r="L805" s="7" t="s">
        <v>500</v>
      </c>
      <c r="M805" s="7" t="s">
        <v>263</v>
      </c>
      <c r="N805" s="7" t="s">
        <v>336</v>
      </c>
      <c r="O805" s="7"/>
      <c r="P805" s="37"/>
      <c r="Q805" s="7"/>
    </row>
    <row r="806">
      <c r="A806" s="7">
        <v>801.0</v>
      </c>
      <c r="B806" s="7" t="s">
        <v>265</v>
      </c>
      <c r="C806" s="7" t="str">
        <f>IFERROR(__xludf.DUMMYFUNCTION("GOOGLETRANSLATE($B806, $A$2, $B$2)"),"More than 30 days ago")</f>
        <v>More than 30 days ago</v>
      </c>
      <c r="D806" s="7" t="s">
        <v>1442</v>
      </c>
      <c r="E806" s="7" t="s">
        <v>258</v>
      </c>
      <c r="F806" s="7" t="s">
        <v>1443</v>
      </c>
      <c r="G806" s="7" t="s">
        <v>260</v>
      </c>
      <c r="H806" s="7" t="s">
        <v>261</v>
      </c>
      <c r="I806" s="7" t="s">
        <v>261</v>
      </c>
      <c r="J806" s="7" t="str">
        <f>IFERROR(__xludf.DUMMYFUNCTION("GOOGLETRANSLATE($I806, ""de"", ""en"")"),"NO SALARY DATA")</f>
        <v>NO SALARY DATA</v>
      </c>
      <c r="K806" s="7" t="s">
        <v>261</v>
      </c>
      <c r="L806" s="7" t="s">
        <v>490</v>
      </c>
      <c r="M806" s="7" t="s">
        <v>263</v>
      </c>
      <c r="N806" s="7" t="s">
        <v>260</v>
      </c>
      <c r="O806" s="7"/>
      <c r="P806" s="37"/>
      <c r="Q806" s="7"/>
    </row>
    <row r="807">
      <c r="A807" s="7">
        <v>802.0</v>
      </c>
      <c r="B807" s="7" t="s">
        <v>265</v>
      </c>
      <c r="C807" s="7" t="str">
        <f>IFERROR(__xludf.DUMMYFUNCTION("GOOGLETRANSLATE($B807, $A$2, $B$2)"),"More than 30 days ago")</f>
        <v>More than 30 days ago</v>
      </c>
      <c r="D807" s="7" t="s">
        <v>1524</v>
      </c>
      <c r="E807" s="7" t="s">
        <v>368</v>
      </c>
      <c r="F807" s="7" t="s">
        <v>1525</v>
      </c>
      <c r="G807" s="7" t="s">
        <v>260</v>
      </c>
      <c r="H807" s="7" t="s">
        <v>261</v>
      </c>
      <c r="I807" s="7" t="s">
        <v>261</v>
      </c>
      <c r="J807" s="7" t="str">
        <f>IFERROR(__xludf.DUMMYFUNCTION("GOOGLETRANSLATE($I807, ""de"", ""en"")"),"NO SALARY DATA")</f>
        <v>NO SALARY DATA</v>
      </c>
      <c r="K807" s="7" t="s">
        <v>261</v>
      </c>
      <c r="L807" s="7" t="s">
        <v>345</v>
      </c>
      <c r="M807" s="7" t="s">
        <v>263</v>
      </c>
      <c r="N807" s="7" t="s">
        <v>260</v>
      </c>
      <c r="O807" s="7"/>
      <c r="P807" s="35"/>
      <c r="Q807" s="7"/>
    </row>
    <row r="808">
      <c r="A808" s="7">
        <v>803.0</v>
      </c>
      <c r="B808" s="7" t="s">
        <v>265</v>
      </c>
      <c r="C808" s="7" t="str">
        <f>IFERROR(__xludf.DUMMYFUNCTION("GOOGLETRANSLATE($B808, $A$2, $B$2)"),"More than 30 days ago")</f>
        <v>More than 30 days ago</v>
      </c>
      <c r="D808" s="7" t="s">
        <v>1799</v>
      </c>
      <c r="E808" s="7" t="s">
        <v>271</v>
      </c>
      <c r="F808" s="7" t="s">
        <v>1800</v>
      </c>
      <c r="G808" s="7" t="s">
        <v>260</v>
      </c>
      <c r="H808" s="7" t="s">
        <v>261</v>
      </c>
      <c r="I808" s="7" t="s">
        <v>261</v>
      </c>
      <c r="J808" s="7" t="str">
        <f>IFERROR(__xludf.DUMMYFUNCTION("GOOGLETRANSLATE($I808, ""de"", ""en"")"),"NO SALARY DATA")</f>
        <v>NO SALARY DATA</v>
      </c>
      <c r="K808" s="7" t="s">
        <v>261</v>
      </c>
      <c r="L808" s="7" t="s">
        <v>1801</v>
      </c>
      <c r="M808" s="7" t="s">
        <v>263</v>
      </c>
      <c r="N808" s="7" t="s">
        <v>725</v>
      </c>
      <c r="O808" s="7"/>
      <c r="P808" s="37"/>
      <c r="Q808" s="7"/>
    </row>
    <row r="809">
      <c r="A809" s="7">
        <v>804.0</v>
      </c>
      <c r="B809" s="7" t="s">
        <v>265</v>
      </c>
      <c r="C809" s="7" t="str">
        <f>IFERROR(__xludf.DUMMYFUNCTION("GOOGLETRANSLATE($B809, $A$2, $B$2)"),"More than 30 days ago")</f>
        <v>More than 30 days ago</v>
      </c>
      <c r="D809" s="7" t="s">
        <v>706</v>
      </c>
      <c r="E809" s="7" t="s">
        <v>633</v>
      </c>
      <c r="F809" s="7" t="s">
        <v>1802</v>
      </c>
      <c r="G809" s="7" t="s">
        <v>260</v>
      </c>
      <c r="H809" s="7" t="s">
        <v>261</v>
      </c>
      <c r="I809" s="7" t="s">
        <v>261</v>
      </c>
      <c r="J809" s="7" t="str">
        <f>IFERROR(__xludf.DUMMYFUNCTION("GOOGLETRANSLATE($I809, ""de"", ""en"")"),"NO SALARY DATA")</f>
        <v>NO SALARY DATA</v>
      </c>
      <c r="K809" s="7" t="s">
        <v>261</v>
      </c>
      <c r="L809" s="7" t="s">
        <v>433</v>
      </c>
      <c r="M809" s="7" t="s">
        <v>263</v>
      </c>
      <c r="N809" s="7" t="s">
        <v>260</v>
      </c>
      <c r="O809" s="7"/>
      <c r="P809" s="37"/>
      <c r="Q809" s="7"/>
    </row>
    <row r="810">
      <c r="A810" s="7">
        <v>805.0</v>
      </c>
      <c r="B810" s="7" t="s">
        <v>265</v>
      </c>
      <c r="C810" s="7" t="str">
        <f>IFERROR(__xludf.DUMMYFUNCTION("GOOGLETRANSLATE($B810, $A$2, $B$2)"),"More than 30 days ago")</f>
        <v>More than 30 days ago</v>
      </c>
      <c r="D810" s="7" t="s">
        <v>1803</v>
      </c>
      <c r="E810" s="7" t="s">
        <v>280</v>
      </c>
      <c r="F810" s="7" t="s">
        <v>1804</v>
      </c>
      <c r="G810" s="7" t="s">
        <v>260</v>
      </c>
      <c r="H810" s="7" t="s">
        <v>261</v>
      </c>
      <c r="I810" s="7" t="s">
        <v>261</v>
      </c>
      <c r="J810" s="7" t="str">
        <f>IFERROR(__xludf.DUMMYFUNCTION("GOOGLETRANSLATE($I810, ""de"", ""en"")"),"NO SALARY DATA")</f>
        <v>NO SALARY DATA</v>
      </c>
      <c r="K810" s="7" t="s">
        <v>261</v>
      </c>
      <c r="L810" s="7" t="s">
        <v>838</v>
      </c>
      <c r="M810" s="7" t="s">
        <v>263</v>
      </c>
      <c r="N810" s="7" t="s">
        <v>260</v>
      </c>
      <c r="O810" s="7"/>
      <c r="P810" s="37"/>
      <c r="Q810" s="7"/>
    </row>
    <row r="811">
      <c r="A811" s="7">
        <v>806.0</v>
      </c>
      <c r="B811" s="7" t="s">
        <v>265</v>
      </c>
      <c r="C811" s="7" t="str">
        <f>IFERROR(__xludf.DUMMYFUNCTION("GOOGLETRANSLATE($B811, $A$2, $B$2)"),"More than 30 days ago")</f>
        <v>More than 30 days ago</v>
      </c>
      <c r="D811" s="7" t="s">
        <v>1805</v>
      </c>
      <c r="E811" s="7" t="s">
        <v>480</v>
      </c>
      <c r="F811" s="7" t="s">
        <v>1806</v>
      </c>
      <c r="G811" s="7" t="s">
        <v>260</v>
      </c>
      <c r="H811" s="7" t="s">
        <v>261</v>
      </c>
      <c r="I811" s="7" t="s">
        <v>261</v>
      </c>
      <c r="J811" s="7" t="str">
        <f>IFERROR(__xludf.DUMMYFUNCTION("GOOGLETRANSLATE($I811, ""de"", ""en"")"),"NO SALARY DATA")</f>
        <v>NO SALARY DATA</v>
      </c>
      <c r="K811" s="7" t="s">
        <v>261</v>
      </c>
      <c r="L811" s="7" t="s">
        <v>441</v>
      </c>
      <c r="M811" s="7" t="s">
        <v>263</v>
      </c>
      <c r="N811" s="7" t="s">
        <v>260</v>
      </c>
      <c r="O811" s="7"/>
      <c r="P811" s="35"/>
      <c r="Q811" s="7"/>
    </row>
    <row r="812">
      <c r="A812" s="7">
        <v>807.0</v>
      </c>
      <c r="B812" s="7" t="s">
        <v>256</v>
      </c>
      <c r="C812" s="7" t="str">
        <f>IFERROR(__xludf.DUMMYFUNCTION("GOOGLETRANSLATE($B812, $A$2, $B$2)"),"7 days ago")</f>
        <v>7 days ago</v>
      </c>
      <c r="D812" s="7" t="s">
        <v>1807</v>
      </c>
      <c r="E812" s="7" t="s">
        <v>1591</v>
      </c>
      <c r="F812" s="7" t="s">
        <v>1808</v>
      </c>
      <c r="G812" s="7" t="s">
        <v>260</v>
      </c>
      <c r="H812" s="7" t="s">
        <v>261</v>
      </c>
      <c r="I812" s="7" t="s">
        <v>261</v>
      </c>
      <c r="J812" s="7" t="str">
        <f>IFERROR(__xludf.DUMMYFUNCTION("GOOGLETRANSLATE($I812, ""de"", ""en"")"),"NO SALARY DATA")</f>
        <v>NO SALARY DATA</v>
      </c>
      <c r="K812" s="7" t="s">
        <v>261</v>
      </c>
      <c r="L812" s="7" t="s">
        <v>312</v>
      </c>
      <c r="M812" s="7" t="s">
        <v>263</v>
      </c>
      <c r="N812" s="7" t="s">
        <v>420</v>
      </c>
      <c r="O812" s="7"/>
      <c r="P812" s="35"/>
      <c r="Q812" s="7"/>
    </row>
    <row r="813">
      <c r="A813" s="7">
        <v>808.0</v>
      </c>
      <c r="B813" s="7" t="s">
        <v>341</v>
      </c>
      <c r="C813" s="7" t="str">
        <f>IFERROR(__xludf.DUMMYFUNCTION("GOOGLETRANSLATE($B813, $A$2, $B$2)"),"before 14 days")</f>
        <v>before 14 days</v>
      </c>
      <c r="D813" s="7" t="s">
        <v>1809</v>
      </c>
      <c r="E813" s="7" t="s">
        <v>461</v>
      </c>
      <c r="F813" s="7" t="s">
        <v>462</v>
      </c>
      <c r="G813" s="7" t="s">
        <v>260</v>
      </c>
      <c r="H813" s="7" t="s">
        <v>261</v>
      </c>
      <c r="I813" s="7" t="s">
        <v>261</v>
      </c>
      <c r="J813" s="7" t="str">
        <f>IFERROR(__xludf.DUMMYFUNCTION("GOOGLETRANSLATE($I813, ""de"", ""en"")"),"NO SALARY DATA")</f>
        <v>NO SALARY DATA</v>
      </c>
      <c r="K813" s="7" t="s">
        <v>261</v>
      </c>
      <c r="L813" s="7" t="s">
        <v>345</v>
      </c>
      <c r="M813" s="7" t="s">
        <v>263</v>
      </c>
      <c r="N813" s="7" t="s">
        <v>434</v>
      </c>
      <c r="O813" s="7"/>
      <c r="P813" s="37"/>
      <c r="Q813" s="7"/>
    </row>
    <row r="814">
      <c r="A814" s="7">
        <v>809.0</v>
      </c>
      <c r="B814" s="7" t="s">
        <v>269</v>
      </c>
      <c r="C814" s="7" t="str">
        <f>IFERROR(__xludf.DUMMYFUNCTION("GOOGLETRANSLATE($B814, $A$2, $B$2)"),"5 days ago")</f>
        <v>5 days ago</v>
      </c>
      <c r="D814" s="7" t="s">
        <v>306</v>
      </c>
      <c r="E814" s="7" t="s">
        <v>539</v>
      </c>
      <c r="F814" s="7" t="s">
        <v>1810</v>
      </c>
      <c r="G814" s="7" t="s">
        <v>1811</v>
      </c>
      <c r="H814" s="7">
        <v>70000.0</v>
      </c>
      <c r="I814" s="7" t="s">
        <v>384</v>
      </c>
      <c r="J814" s="7" t="str">
        <f>IFERROR(__xludf.DUMMYFUNCTION("GOOGLETRANSLATE($I814, ""de"", ""en"")"),"year")</f>
        <v>year</v>
      </c>
      <c r="K814" s="7">
        <v>70000.0</v>
      </c>
      <c r="L814" s="7" t="s">
        <v>490</v>
      </c>
      <c r="M814" s="7" t="s">
        <v>263</v>
      </c>
      <c r="N814" s="7" t="s">
        <v>260</v>
      </c>
      <c r="O814" s="7"/>
      <c r="P814" s="35"/>
      <c r="Q814" s="7"/>
    </row>
    <row r="815">
      <c r="A815" s="7">
        <v>810.0</v>
      </c>
      <c r="B815" s="7" t="s">
        <v>265</v>
      </c>
      <c r="C815" s="7" t="str">
        <f>IFERROR(__xludf.DUMMYFUNCTION("GOOGLETRANSLATE($B815, $A$2, $B$2)"),"More than 30 days ago")</f>
        <v>More than 30 days ago</v>
      </c>
      <c r="D815" s="7" t="s">
        <v>706</v>
      </c>
      <c r="E815" s="7" t="s">
        <v>480</v>
      </c>
      <c r="F815" s="7" t="s">
        <v>484</v>
      </c>
      <c r="G815" s="7" t="s">
        <v>260</v>
      </c>
      <c r="H815" s="7" t="s">
        <v>261</v>
      </c>
      <c r="I815" s="7" t="s">
        <v>261</v>
      </c>
      <c r="J815" s="7" t="str">
        <f>IFERROR(__xludf.DUMMYFUNCTION("GOOGLETRANSLATE($I815, ""de"", ""en"")"),"NO SALARY DATA")</f>
        <v>NO SALARY DATA</v>
      </c>
      <c r="K815" s="7" t="s">
        <v>261</v>
      </c>
      <c r="L815" s="7" t="s">
        <v>312</v>
      </c>
      <c r="M815" s="7" t="s">
        <v>263</v>
      </c>
      <c r="N815" s="7" t="s">
        <v>486</v>
      </c>
      <c r="O815" s="7"/>
      <c r="P815" s="35"/>
      <c r="Q815" s="7"/>
    </row>
    <row r="816">
      <c r="A816" s="7">
        <v>811.0</v>
      </c>
      <c r="B816" s="7" t="s">
        <v>469</v>
      </c>
      <c r="C816" s="7" t="str">
        <f>IFERROR(__xludf.DUMMYFUNCTION("GOOGLETRANSLATE($B816, $A$2, $B$2)"),"19 days ago")</f>
        <v>19 days ago</v>
      </c>
      <c r="D816" s="7" t="s">
        <v>1812</v>
      </c>
      <c r="E816" s="7" t="s">
        <v>669</v>
      </c>
      <c r="F816" s="7" t="s">
        <v>763</v>
      </c>
      <c r="G816" s="7" t="s">
        <v>260</v>
      </c>
      <c r="H816" s="7" t="s">
        <v>261</v>
      </c>
      <c r="I816" s="7" t="s">
        <v>261</v>
      </c>
      <c r="J816" s="7" t="str">
        <f>IFERROR(__xludf.DUMMYFUNCTION("GOOGLETRANSLATE($I816, ""de"", ""en"")"),"NO SALARY DATA")</f>
        <v>NO SALARY DATA</v>
      </c>
      <c r="K816" s="7" t="s">
        <v>261</v>
      </c>
      <c r="L816" s="7"/>
      <c r="M816" s="7" t="s">
        <v>263</v>
      </c>
      <c r="N816" s="7" t="s">
        <v>434</v>
      </c>
      <c r="O816" s="7"/>
      <c r="P816" s="37"/>
      <c r="Q816" s="7"/>
    </row>
    <row r="817">
      <c r="A817" s="7">
        <v>812.0</v>
      </c>
      <c r="B817" s="7" t="s">
        <v>265</v>
      </c>
      <c r="C817" s="7" t="str">
        <f>IFERROR(__xludf.DUMMYFUNCTION("GOOGLETRANSLATE($B817, $A$2, $B$2)"),"More than 30 days ago")</f>
        <v>More than 30 days ago</v>
      </c>
      <c r="D817" s="7" t="s">
        <v>1289</v>
      </c>
      <c r="E817" s="7" t="s">
        <v>804</v>
      </c>
      <c r="F817" s="7" t="s">
        <v>1290</v>
      </c>
      <c r="G817" s="7" t="s">
        <v>260</v>
      </c>
      <c r="H817" s="7" t="s">
        <v>261</v>
      </c>
      <c r="I817" s="7" t="s">
        <v>261</v>
      </c>
      <c r="J817" s="7" t="str">
        <f>IFERROR(__xludf.DUMMYFUNCTION("GOOGLETRANSLATE($I817, ""de"", ""en"")"),"NO SALARY DATA")</f>
        <v>NO SALARY DATA</v>
      </c>
      <c r="K817" s="7" t="s">
        <v>261</v>
      </c>
      <c r="L817" s="7" t="s">
        <v>649</v>
      </c>
      <c r="M817" s="7" t="s">
        <v>263</v>
      </c>
      <c r="N817" s="7" t="s">
        <v>260</v>
      </c>
      <c r="O817" s="7"/>
      <c r="P817" s="37"/>
      <c r="Q817" s="7"/>
    </row>
    <row r="818">
      <c r="A818" s="7">
        <v>813.0</v>
      </c>
      <c r="B818" s="7" t="s">
        <v>265</v>
      </c>
      <c r="C818" s="7" t="str">
        <f>IFERROR(__xludf.DUMMYFUNCTION("GOOGLETRANSLATE($B818, $A$2, $B$2)"),"More than 30 days ago")</f>
        <v>More than 30 days ago</v>
      </c>
      <c r="D818" s="7" t="s">
        <v>1813</v>
      </c>
      <c r="E818" s="7" t="s">
        <v>258</v>
      </c>
      <c r="F818" s="7" t="s">
        <v>862</v>
      </c>
      <c r="G818" s="7" t="s">
        <v>1814</v>
      </c>
      <c r="H818" s="7">
        <v>50000.0</v>
      </c>
      <c r="I818" s="7" t="s">
        <v>384</v>
      </c>
      <c r="J818" s="7" t="str">
        <f>IFERROR(__xludf.DUMMYFUNCTION("GOOGLETRANSLATE($I818, ""de"", ""en"")"),"year")</f>
        <v>year</v>
      </c>
      <c r="K818" s="7">
        <v>50000.0</v>
      </c>
      <c r="L818" s="7" t="s">
        <v>585</v>
      </c>
      <c r="M818" s="7" t="s">
        <v>263</v>
      </c>
      <c r="N818" s="7" t="s">
        <v>260</v>
      </c>
      <c r="O818" s="7"/>
      <c r="P818" s="37"/>
      <c r="Q818" s="7"/>
    </row>
    <row r="819">
      <c r="A819" s="7">
        <v>814.0</v>
      </c>
      <c r="B819" s="7" t="s">
        <v>395</v>
      </c>
      <c r="C819" s="7" t="str">
        <f>IFERROR(__xludf.DUMMYFUNCTION("GOOGLETRANSLATE($B819, $A$2, $B$2)"),"21 days ago")</f>
        <v>21 days ago</v>
      </c>
      <c r="D819" s="7" t="s">
        <v>1815</v>
      </c>
      <c r="E819" s="7" t="s">
        <v>1816</v>
      </c>
      <c r="F819" s="7" t="s">
        <v>1817</v>
      </c>
      <c r="G819" s="7" t="s">
        <v>260</v>
      </c>
      <c r="H819" s="7" t="s">
        <v>261</v>
      </c>
      <c r="I819" s="7" t="s">
        <v>261</v>
      </c>
      <c r="J819" s="7" t="str">
        <f>IFERROR(__xludf.DUMMYFUNCTION("GOOGLETRANSLATE($I819, ""de"", ""en"")"),"NO SALARY DATA")</f>
        <v>NO SALARY DATA</v>
      </c>
      <c r="K819" s="7" t="s">
        <v>261</v>
      </c>
      <c r="L819" s="7"/>
      <c r="M819" s="7" t="s">
        <v>263</v>
      </c>
      <c r="N819" s="7" t="s">
        <v>260</v>
      </c>
      <c r="O819" s="7"/>
      <c r="P819" s="35"/>
      <c r="Q819" s="7"/>
    </row>
    <row r="820">
      <c r="A820" s="7">
        <v>815.0</v>
      </c>
      <c r="B820" s="7" t="s">
        <v>332</v>
      </c>
      <c r="C820" s="7" t="str">
        <f>IFERROR(__xludf.DUMMYFUNCTION("GOOGLETRANSLATE($B820, $A$2, $B$2)"),"4 days ago")</f>
        <v>4 days ago</v>
      </c>
      <c r="D820" s="7" t="s">
        <v>801</v>
      </c>
      <c r="E820" s="7" t="s">
        <v>368</v>
      </c>
      <c r="F820" s="7" t="s">
        <v>1818</v>
      </c>
      <c r="G820" s="7" t="s">
        <v>260</v>
      </c>
      <c r="H820" s="7" t="s">
        <v>261</v>
      </c>
      <c r="I820" s="7" t="s">
        <v>261</v>
      </c>
      <c r="J820" s="7" t="str">
        <f>IFERROR(__xludf.DUMMYFUNCTION("GOOGLETRANSLATE($I820, ""de"", ""en"")"),"NO SALARY DATA")</f>
        <v>NO SALARY DATA</v>
      </c>
      <c r="K820" s="7" t="s">
        <v>261</v>
      </c>
      <c r="L820" s="7" t="s">
        <v>350</v>
      </c>
      <c r="M820" s="7" t="s">
        <v>263</v>
      </c>
      <c r="N820" s="7" t="s">
        <v>301</v>
      </c>
      <c r="O820" s="7"/>
      <c r="P820" s="37"/>
      <c r="Q820" s="7"/>
    </row>
    <row r="821">
      <c r="A821" s="7">
        <v>816.0</v>
      </c>
      <c r="B821" s="7" t="s">
        <v>265</v>
      </c>
      <c r="C821" s="7" t="str">
        <f>IFERROR(__xludf.DUMMYFUNCTION("GOOGLETRANSLATE($B821, $A$2, $B$2)"),"More than 30 days ago")</f>
        <v>More than 30 days ago</v>
      </c>
      <c r="D821" s="7" t="s">
        <v>1819</v>
      </c>
      <c r="E821" s="7" t="s">
        <v>280</v>
      </c>
      <c r="F821" s="7" t="s">
        <v>973</v>
      </c>
      <c r="G821" s="7" t="s">
        <v>260</v>
      </c>
      <c r="H821" s="7" t="s">
        <v>261</v>
      </c>
      <c r="I821" s="7" t="s">
        <v>261</v>
      </c>
      <c r="J821" s="7" t="str">
        <f>IFERROR(__xludf.DUMMYFUNCTION("GOOGLETRANSLATE($I821, ""de"", ""en"")"),"NO SALARY DATA")</f>
        <v>NO SALARY DATA</v>
      </c>
      <c r="K821" s="7" t="s">
        <v>261</v>
      </c>
      <c r="L821" s="7" t="s">
        <v>830</v>
      </c>
      <c r="M821" s="7" t="s">
        <v>263</v>
      </c>
      <c r="N821" s="7" t="s">
        <v>260</v>
      </c>
      <c r="O821" s="7"/>
      <c r="P821" s="37"/>
      <c r="Q821" s="7"/>
    </row>
    <row r="822">
      <c r="A822" s="7">
        <v>817.0</v>
      </c>
      <c r="B822" s="7" t="s">
        <v>533</v>
      </c>
      <c r="C822" s="7" t="str">
        <f>IFERROR(__xludf.DUMMYFUNCTION("GOOGLETRANSLATE($B822, $A$2, $B$2)"),"11 days ago")</f>
        <v>11 days ago</v>
      </c>
      <c r="D822" s="7" t="s">
        <v>1820</v>
      </c>
      <c r="E822" s="7" t="s">
        <v>408</v>
      </c>
      <c r="F822" s="7" t="s">
        <v>1821</v>
      </c>
      <c r="G822" s="7" t="s">
        <v>260</v>
      </c>
      <c r="H822" s="7" t="s">
        <v>261</v>
      </c>
      <c r="I822" s="7" t="s">
        <v>261</v>
      </c>
      <c r="J822" s="7" t="str">
        <f>IFERROR(__xludf.DUMMYFUNCTION("GOOGLETRANSLATE($I822, ""de"", ""en"")"),"NO SALARY DATA")</f>
        <v>NO SALARY DATA</v>
      </c>
      <c r="K822" s="7" t="s">
        <v>261</v>
      </c>
      <c r="L822" s="7" t="s">
        <v>1822</v>
      </c>
      <c r="M822" s="7" t="s">
        <v>263</v>
      </c>
      <c r="N822" s="7" t="s">
        <v>260</v>
      </c>
      <c r="O822" s="7"/>
      <c r="P822" s="37"/>
      <c r="Q822" s="7"/>
    </row>
    <row r="823">
      <c r="A823" s="7">
        <v>818.0</v>
      </c>
      <c r="B823" s="7" t="s">
        <v>265</v>
      </c>
      <c r="C823" s="7" t="str">
        <f>IFERROR(__xludf.DUMMYFUNCTION("GOOGLETRANSLATE($B823, $A$2, $B$2)"),"More than 30 days ago")</f>
        <v>More than 30 days ago</v>
      </c>
      <c r="D823" s="7" t="s">
        <v>1703</v>
      </c>
      <c r="E823" s="7" t="s">
        <v>271</v>
      </c>
      <c r="F823" s="7" t="s">
        <v>1704</v>
      </c>
      <c r="G823" s="7" t="s">
        <v>260</v>
      </c>
      <c r="H823" s="7" t="s">
        <v>261</v>
      </c>
      <c r="I823" s="7" t="s">
        <v>261</v>
      </c>
      <c r="J823" s="7" t="str">
        <f>IFERROR(__xludf.DUMMYFUNCTION("GOOGLETRANSLATE($I823, ""de"", ""en"")"),"NO SALARY DATA")</f>
        <v>NO SALARY DATA</v>
      </c>
      <c r="K823" s="7" t="s">
        <v>261</v>
      </c>
      <c r="L823" s="7" t="s">
        <v>843</v>
      </c>
      <c r="M823" s="7" t="s">
        <v>263</v>
      </c>
      <c r="N823" s="7" t="s">
        <v>260</v>
      </c>
      <c r="O823" s="7"/>
      <c r="P823" s="35"/>
      <c r="Q823" s="7"/>
    </row>
    <row r="824">
      <c r="A824" s="7">
        <v>819.0</v>
      </c>
      <c r="B824" s="7" t="s">
        <v>265</v>
      </c>
      <c r="C824" s="7" t="str">
        <f>IFERROR(__xludf.DUMMYFUNCTION("GOOGLETRANSLATE($B824, $A$2, $B$2)"),"More than 30 days ago")</f>
        <v>More than 30 days ago</v>
      </c>
      <c r="D824" s="7" t="s">
        <v>1823</v>
      </c>
      <c r="E824" s="7" t="s">
        <v>1824</v>
      </c>
      <c r="F824" s="7" t="s">
        <v>1825</v>
      </c>
      <c r="G824" s="7" t="s">
        <v>260</v>
      </c>
      <c r="H824" s="7" t="s">
        <v>261</v>
      </c>
      <c r="I824" s="7" t="s">
        <v>261</v>
      </c>
      <c r="J824" s="7" t="str">
        <f>IFERROR(__xludf.DUMMYFUNCTION("GOOGLETRANSLATE($I824, ""de"", ""en"")"),"NO SALARY DATA")</f>
        <v>NO SALARY DATA</v>
      </c>
      <c r="K824" s="7" t="s">
        <v>261</v>
      </c>
      <c r="L824" s="7" t="s">
        <v>423</v>
      </c>
      <c r="M824" s="7" t="s">
        <v>263</v>
      </c>
      <c r="N824" s="7" t="s">
        <v>491</v>
      </c>
      <c r="O824" s="7"/>
      <c r="P824" s="35"/>
      <c r="Q824" s="7"/>
    </row>
    <row r="825">
      <c r="A825" s="7">
        <v>820.0</v>
      </c>
      <c r="B825" s="7" t="s">
        <v>265</v>
      </c>
      <c r="C825" s="7" t="str">
        <f>IFERROR(__xludf.DUMMYFUNCTION("GOOGLETRANSLATE($B825, $A$2, $B$2)"),"More than 30 days ago")</f>
        <v>More than 30 days ago</v>
      </c>
      <c r="D825" s="7" t="s">
        <v>1826</v>
      </c>
      <c r="E825" s="7" t="s">
        <v>1394</v>
      </c>
      <c r="F825" s="7" t="s">
        <v>1395</v>
      </c>
      <c r="G825" s="7" t="s">
        <v>260</v>
      </c>
      <c r="H825" s="7" t="s">
        <v>261</v>
      </c>
      <c r="I825" s="7" t="s">
        <v>261</v>
      </c>
      <c r="J825" s="7" t="str">
        <f>IFERROR(__xludf.DUMMYFUNCTION("GOOGLETRANSLATE($I825, ""de"", ""en"")"),"NO SALARY DATA")</f>
        <v>NO SALARY DATA</v>
      </c>
      <c r="K825" s="7" t="s">
        <v>261</v>
      </c>
      <c r="L825" s="7" t="s">
        <v>1822</v>
      </c>
      <c r="M825" s="7" t="s">
        <v>263</v>
      </c>
      <c r="N825" s="7" t="s">
        <v>323</v>
      </c>
      <c r="O825" s="7"/>
      <c r="P825" s="35"/>
      <c r="Q825" s="7"/>
    </row>
    <row r="826">
      <c r="A826" s="7">
        <v>821.0</v>
      </c>
      <c r="B826" s="7" t="s">
        <v>269</v>
      </c>
      <c r="C826" s="7" t="str">
        <f>IFERROR(__xludf.DUMMYFUNCTION("GOOGLETRANSLATE($B826, $A$2, $B$2)"),"5 days ago")</f>
        <v>5 days ago</v>
      </c>
      <c r="D826" s="7" t="s">
        <v>664</v>
      </c>
      <c r="E826" s="7" t="s">
        <v>258</v>
      </c>
      <c r="F826" s="7" t="s">
        <v>1827</v>
      </c>
      <c r="G826" s="7" t="s">
        <v>260</v>
      </c>
      <c r="H826" s="7" t="s">
        <v>261</v>
      </c>
      <c r="I826" s="7" t="s">
        <v>261</v>
      </c>
      <c r="J826" s="7" t="str">
        <f>IFERROR(__xludf.DUMMYFUNCTION("GOOGLETRANSLATE($I826, ""de"", ""en"")"),"NO SALARY DATA")</f>
        <v>NO SALARY DATA</v>
      </c>
      <c r="K826" s="7" t="s">
        <v>261</v>
      </c>
      <c r="L826" s="7" t="s">
        <v>666</v>
      </c>
      <c r="M826" s="7" t="s">
        <v>667</v>
      </c>
      <c r="N826" s="7" t="s">
        <v>486</v>
      </c>
      <c r="O826" s="7"/>
      <c r="P826" s="35"/>
      <c r="Q826" s="7"/>
    </row>
    <row r="827">
      <c r="A827" s="7">
        <v>822.0</v>
      </c>
      <c r="B827" s="7" t="s">
        <v>332</v>
      </c>
      <c r="C827" s="7" t="str">
        <f>IFERROR(__xludf.DUMMYFUNCTION("GOOGLETRANSLATE($B827, $A$2, $B$2)"),"4 days ago")</f>
        <v>4 days ago</v>
      </c>
      <c r="D827" s="7" t="s">
        <v>1820</v>
      </c>
      <c r="E827" s="7" t="s">
        <v>1828</v>
      </c>
      <c r="F827" s="7" t="s">
        <v>1829</v>
      </c>
      <c r="G827" s="7" t="s">
        <v>260</v>
      </c>
      <c r="H827" s="7" t="s">
        <v>261</v>
      </c>
      <c r="I827" s="7" t="s">
        <v>261</v>
      </c>
      <c r="J827" s="7" t="str">
        <f>IFERROR(__xludf.DUMMYFUNCTION("GOOGLETRANSLATE($I827, ""de"", ""en"")"),"NO SALARY DATA")</f>
        <v>NO SALARY DATA</v>
      </c>
      <c r="K827" s="7" t="s">
        <v>261</v>
      </c>
      <c r="L827" s="7" t="s">
        <v>441</v>
      </c>
      <c r="M827" s="7" t="s">
        <v>263</v>
      </c>
      <c r="N827" s="7" t="s">
        <v>819</v>
      </c>
      <c r="O827" s="7"/>
      <c r="P827" s="35"/>
      <c r="Q827" s="7"/>
    </row>
    <row r="828">
      <c r="A828" s="7">
        <v>823.0</v>
      </c>
      <c r="B828" s="7" t="s">
        <v>265</v>
      </c>
      <c r="C828" s="7" t="str">
        <f>IFERROR(__xludf.DUMMYFUNCTION("GOOGLETRANSLATE($B828, $A$2, $B$2)"),"More than 30 days ago")</f>
        <v>More than 30 days ago</v>
      </c>
      <c r="D828" s="7" t="s">
        <v>1830</v>
      </c>
      <c r="E828" s="7" t="s">
        <v>348</v>
      </c>
      <c r="F828" s="7" t="s">
        <v>1831</v>
      </c>
      <c r="G828" s="7" t="s">
        <v>260</v>
      </c>
      <c r="H828" s="7" t="s">
        <v>261</v>
      </c>
      <c r="I828" s="7" t="s">
        <v>261</v>
      </c>
      <c r="J828" s="7" t="str">
        <f>IFERROR(__xludf.DUMMYFUNCTION("GOOGLETRANSLATE($I828, ""de"", ""en"")"),"NO SALARY DATA")</f>
        <v>NO SALARY DATA</v>
      </c>
      <c r="K828" s="7" t="s">
        <v>261</v>
      </c>
      <c r="L828" s="7" t="s">
        <v>312</v>
      </c>
      <c r="M828" s="7" t="s">
        <v>263</v>
      </c>
      <c r="N828" s="7" t="s">
        <v>420</v>
      </c>
      <c r="O828" s="7"/>
      <c r="P828" s="35"/>
      <c r="Q828" s="7"/>
    </row>
    <row r="829">
      <c r="A829" s="7">
        <v>824.0</v>
      </c>
      <c r="B829" s="7" t="s">
        <v>256</v>
      </c>
      <c r="C829" s="7" t="str">
        <f>IFERROR(__xludf.DUMMYFUNCTION("GOOGLETRANSLATE($B829, $A$2, $B$2)"),"7 days ago")</f>
        <v>7 days ago</v>
      </c>
      <c r="D829" s="7" t="s">
        <v>1832</v>
      </c>
      <c r="E829" s="7" t="s">
        <v>1591</v>
      </c>
      <c r="F829" s="7" t="s">
        <v>1808</v>
      </c>
      <c r="G829" s="7" t="s">
        <v>260</v>
      </c>
      <c r="H829" s="7" t="s">
        <v>261</v>
      </c>
      <c r="I829" s="7" t="s">
        <v>261</v>
      </c>
      <c r="J829" s="7" t="str">
        <f>IFERROR(__xludf.DUMMYFUNCTION("GOOGLETRANSLATE($I829, ""de"", ""en"")"),"NO SALARY DATA")</f>
        <v>NO SALARY DATA</v>
      </c>
      <c r="K829" s="7" t="s">
        <v>261</v>
      </c>
      <c r="L829" s="7" t="s">
        <v>312</v>
      </c>
      <c r="M829" s="7" t="s">
        <v>263</v>
      </c>
      <c r="N829" s="7" t="s">
        <v>420</v>
      </c>
      <c r="O829" s="7"/>
      <c r="P829" s="35"/>
      <c r="Q829" s="7"/>
    </row>
    <row r="830">
      <c r="A830" s="7">
        <v>825.0</v>
      </c>
      <c r="B830" s="7" t="s">
        <v>265</v>
      </c>
      <c r="C830" s="7" t="str">
        <f>IFERROR(__xludf.DUMMYFUNCTION("GOOGLETRANSLATE($B830, $A$2, $B$2)"),"More than 30 days ago")</f>
        <v>More than 30 days ago</v>
      </c>
      <c r="D830" s="7" t="s">
        <v>960</v>
      </c>
      <c r="E830" s="7" t="s">
        <v>1833</v>
      </c>
      <c r="F830" s="7" t="s">
        <v>1834</v>
      </c>
      <c r="G830" s="7" t="s">
        <v>260</v>
      </c>
      <c r="H830" s="7" t="s">
        <v>261</v>
      </c>
      <c r="I830" s="7" t="s">
        <v>261</v>
      </c>
      <c r="J830" s="7" t="str">
        <f>IFERROR(__xludf.DUMMYFUNCTION("GOOGLETRANSLATE($I830, ""de"", ""en"")"),"NO SALARY DATA")</f>
        <v>NO SALARY DATA</v>
      </c>
      <c r="K830" s="7" t="s">
        <v>261</v>
      </c>
      <c r="L830" s="7"/>
      <c r="M830" s="7" t="s">
        <v>263</v>
      </c>
      <c r="N830" s="7" t="s">
        <v>301</v>
      </c>
      <c r="O830" s="7"/>
      <c r="P830" s="35"/>
      <c r="Q830" s="7"/>
    </row>
    <row r="831">
      <c r="A831" s="7">
        <v>826.0</v>
      </c>
      <c r="B831" s="7" t="s">
        <v>265</v>
      </c>
      <c r="C831" s="7" t="str">
        <f>IFERROR(__xludf.DUMMYFUNCTION("GOOGLETRANSLATE($B831, $A$2, $B$2)"),"More than 30 days ago")</f>
        <v>More than 30 days ago</v>
      </c>
      <c r="D831" s="7" t="s">
        <v>706</v>
      </c>
      <c r="E831" s="7" t="s">
        <v>1835</v>
      </c>
      <c r="F831" s="7" t="s">
        <v>1836</v>
      </c>
      <c r="G831" s="7" t="s">
        <v>260</v>
      </c>
      <c r="H831" s="7" t="s">
        <v>261</v>
      </c>
      <c r="I831" s="7" t="s">
        <v>261</v>
      </c>
      <c r="J831" s="7" t="str">
        <f>IFERROR(__xludf.DUMMYFUNCTION("GOOGLETRANSLATE($I831, ""de"", ""en"")"),"NO SALARY DATA")</f>
        <v>NO SALARY DATA</v>
      </c>
      <c r="K831" s="7" t="s">
        <v>261</v>
      </c>
      <c r="L831" s="7" t="s">
        <v>423</v>
      </c>
      <c r="M831" s="7" t="s">
        <v>263</v>
      </c>
      <c r="N831" s="7" t="s">
        <v>1419</v>
      </c>
      <c r="O831" s="7"/>
      <c r="P831" s="35"/>
      <c r="Q831" s="7"/>
    </row>
    <row r="832">
      <c r="A832" s="7">
        <v>827.0</v>
      </c>
      <c r="B832" s="7" t="s">
        <v>392</v>
      </c>
      <c r="C832" s="7" t="str">
        <f>IFERROR(__xludf.DUMMYFUNCTION("GOOGLETRANSLATE($B832, $A$2, $B$2)"),"10 days ago")</f>
        <v>10 days ago</v>
      </c>
      <c r="D832" s="7" t="s">
        <v>1837</v>
      </c>
      <c r="E832" s="7" t="s">
        <v>548</v>
      </c>
      <c r="F832" s="7" t="s">
        <v>1838</v>
      </c>
      <c r="G832" s="7" t="s">
        <v>260</v>
      </c>
      <c r="H832" s="7" t="s">
        <v>261</v>
      </c>
      <c r="I832" s="7" t="s">
        <v>261</v>
      </c>
      <c r="J832" s="7" t="str">
        <f>IFERROR(__xludf.DUMMYFUNCTION("GOOGLETRANSLATE($I832, ""de"", ""en"")"),"NO SALARY DATA")</f>
        <v>NO SALARY DATA</v>
      </c>
      <c r="K832" s="7" t="s">
        <v>261</v>
      </c>
      <c r="L832" s="7"/>
      <c r="M832" s="7" t="s">
        <v>263</v>
      </c>
      <c r="N832" s="7" t="s">
        <v>301</v>
      </c>
      <c r="O832" s="7"/>
      <c r="P832" s="35"/>
      <c r="Q832" s="7"/>
    </row>
    <row r="833">
      <c r="A833" s="7">
        <v>828.0</v>
      </c>
      <c r="B833" s="7" t="s">
        <v>265</v>
      </c>
      <c r="C833" s="7" t="str">
        <f>IFERROR(__xludf.DUMMYFUNCTION("GOOGLETRANSLATE($B833, $A$2, $B$2)"),"More than 30 days ago")</f>
        <v>More than 30 days ago</v>
      </c>
      <c r="D833" s="7" t="s">
        <v>1839</v>
      </c>
      <c r="E833" s="7" t="s">
        <v>401</v>
      </c>
      <c r="F833" s="7" t="s">
        <v>1840</v>
      </c>
      <c r="G833" s="7" t="s">
        <v>260</v>
      </c>
      <c r="H833" s="7" t="s">
        <v>261</v>
      </c>
      <c r="I833" s="7" t="s">
        <v>261</v>
      </c>
      <c r="J833" s="7" t="str">
        <f>IFERROR(__xludf.DUMMYFUNCTION("GOOGLETRANSLATE($I833, ""de"", ""en"")"),"NO SALARY DATA")</f>
        <v>NO SALARY DATA</v>
      </c>
      <c r="K833" s="7" t="s">
        <v>261</v>
      </c>
      <c r="L833" s="7"/>
      <c r="M833" s="7" t="s">
        <v>263</v>
      </c>
      <c r="N833" s="7" t="s">
        <v>473</v>
      </c>
      <c r="O833" s="7"/>
      <c r="P833" s="37"/>
      <c r="Q833" s="7"/>
    </row>
    <row r="834">
      <c r="A834" s="7">
        <v>829.0</v>
      </c>
      <c r="B834" s="7" t="s">
        <v>269</v>
      </c>
      <c r="C834" s="7" t="str">
        <f>IFERROR(__xludf.DUMMYFUNCTION("GOOGLETRANSLATE($B834, $A$2, $B$2)"),"5 days ago")</f>
        <v>5 days ago</v>
      </c>
      <c r="D834" s="7" t="s">
        <v>1841</v>
      </c>
      <c r="E834" s="7" t="s">
        <v>1842</v>
      </c>
      <c r="F834" s="7" t="s">
        <v>1843</v>
      </c>
      <c r="G834" s="7" t="s">
        <v>260</v>
      </c>
      <c r="H834" s="7" t="s">
        <v>261</v>
      </c>
      <c r="I834" s="7" t="s">
        <v>261</v>
      </c>
      <c r="J834" s="7" t="str">
        <f>IFERROR(__xludf.DUMMYFUNCTION("GOOGLETRANSLATE($I834, ""de"", ""en"")"),"NO SALARY DATA")</f>
        <v>NO SALARY DATA</v>
      </c>
      <c r="K834" s="7" t="s">
        <v>261</v>
      </c>
      <c r="L834" s="7" t="s">
        <v>398</v>
      </c>
      <c r="M834" s="7" t="s">
        <v>263</v>
      </c>
      <c r="N834" s="7" t="s">
        <v>260</v>
      </c>
      <c r="O834" s="7"/>
      <c r="P834" s="35"/>
      <c r="Q834" s="7"/>
    </row>
    <row r="835">
      <c r="A835" s="7">
        <v>830.0</v>
      </c>
      <c r="B835" s="7" t="s">
        <v>265</v>
      </c>
      <c r="C835" s="7" t="str">
        <f>IFERROR(__xludf.DUMMYFUNCTION("GOOGLETRANSLATE($B835, $A$2, $B$2)"),"More than 30 days ago")</f>
        <v>More than 30 days ago</v>
      </c>
      <c r="D835" s="7" t="s">
        <v>1844</v>
      </c>
      <c r="E835" s="7" t="s">
        <v>548</v>
      </c>
      <c r="F835" s="7" t="s">
        <v>1845</v>
      </c>
      <c r="G835" s="7" t="s">
        <v>260</v>
      </c>
      <c r="H835" s="7" t="s">
        <v>261</v>
      </c>
      <c r="I835" s="7" t="s">
        <v>261</v>
      </c>
      <c r="J835" s="7" t="str">
        <f>IFERROR(__xludf.DUMMYFUNCTION("GOOGLETRANSLATE($I835, ""de"", ""en"")"),"NO SALARY DATA")</f>
        <v>NO SALARY DATA</v>
      </c>
      <c r="K835" s="7" t="s">
        <v>261</v>
      </c>
      <c r="L835" s="7" t="s">
        <v>463</v>
      </c>
      <c r="M835" s="7" t="s">
        <v>263</v>
      </c>
      <c r="N835" s="7" t="s">
        <v>340</v>
      </c>
      <c r="O835" s="7"/>
      <c r="P835" s="35"/>
      <c r="Q835" s="7"/>
    </row>
    <row r="836">
      <c r="A836" s="7">
        <v>831.0</v>
      </c>
      <c r="B836" s="7" t="s">
        <v>288</v>
      </c>
      <c r="C836" s="7" t="str">
        <f>IFERROR(__xludf.DUMMYFUNCTION("GOOGLETRANSLATE($B836, $A$2, $B$2)"),"2 days ago")</f>
        <v>2 days ago</v>
      </c>
      <c r="D836" s="7" t="s">
        <v>982</v>
      </c>
      <c r="E836" s="7" t="s">
        <v>348</v>
      </c>
      <c r="F836" s="7" t="s">
        <v>1846</v>
      </c>
      <c r="G836" s="7" t="s">
        <v>260</v>
      </c>
      <c r="H836" s="7" t="s">
        <v>261</v>
      </c>
      <c r="I836" s="7" t="s">
        <v>261</v>
      </c>
      <c r="J836" s="7" t="str">
        <f>IFERROR(__xludf.DUMMYFUNCTION("GOOGLETRANSLATE($I836, ""de"", ""en"")"),"NO SALARY DATA")</f>
        <v>NO SALARY DATA</v>
      </c>
      <c r="K836" s="7" t="s">
        <v>261</v>
      </c>
      <c r="L836" s="7" t="s">
        <v>282</v>
      </c>
      <c r="M836" s="7" t="s">
        <v>263</v>
      </c>
      <c r="N836" s="7" t="s">
        <v>331</v>
      </c>
      <c r="O836" s="7"/>
      <c r="P836" s="37"/>
      <c r="Q836" s="7"/>
    </row>
    <row r="837">
      <c r="A837" s="7">
        <v>832.0</v>
      </c>
      <c r="B837" s="7" t="s">
        <v>269</v>
      </c>
      <c r="C837" s="7" t="str">
        <f>IFERROR(__xludf.DUMMYFUNCTION("GOOGLETRANSLATE($B837, $A$2, $B$2)"),"5 days ago")</f>
        <v>5 days ago</v>
      </c>
      <c r="D837" s="7" t="s">
        <v>1847</v>
      </c>
      <c r="E837" s="7" t="s">
        <v>280</v>
      </c>
      <c r="F837" s="7" t="s">
        <v>1848</v>
      </c>
      <c r="G837" s="7" t="s">
        <v>260</v>
      </c>
      <c r="H837" s="7" t="s">
        <v>261</v>
      </c>
      <c r="I837" s="7" t="s">
        <v>261</v>
      </c>
      <c r="J837" s="7" t="str">
        <f>IFERROR(__xludf.DUMMYFUNCTION("GOOGLETRANSLATE($I837, ""de"", ""en"")"),"NO SALARY DATA")</f>
        <v>NO SALARY DATA</v>
      </c>
      <c r="K837" s="7" t="s">
        <v>261</v>
      </c>
      <c r="L837" s="7" t="s">
        <v>286</v>
      </c>
      <c r="M837" s="7" t="s">
        <v>263</v>
      </c>
      <c r="N837" s="7" t="s">
        <v>260</v>
      </c>
      <c r="O837" s="7"/>
      <c r="P837" s="35"/>
      <c r="Q837" s="7"/>
    </row>
    <row r="838">
      <c r="A838" s="7">
        <v>833.0</v>
      </c>
      <c r="B838" s="7" t="s">
        <v>265</v>
      </c>
      <c r="C838" s="7" t="str">
        <f>IFERROR(__xludf.DUMMYFUNCTION("GOOGLETRANSLATE($B838, $A$2, $B$2)"),"More than 30 days ago")</f>
        <v>More than 30 days ago</v>
      </c>
      <c r="D838" s="7" t="s">
        <v>1849</v>
      </c>
      <c r="E838" s="7" t="s">
        <v>271</v>
      </c>
      <c r="F838" s="7" t="s">
        <v>1168</v>
      </c>
      <c r="G838" s="7" t="s">
        <v>260</v>
      </c>
      <c r="H838" s="7" t="s">
        <v>261</v>
      </c>
      <c r="I838" s="7" t="s">
        <v>261</v>
      </c>
      <c r="J838" s="7" t="str">
        <f>IFERROR(__xludf.DUMMYFUNCTION("GOOGLETRANSLATE($I838, ""de"", ""en"")"),"NO SALARY DATA")</f>
        <v>NO SALARY DATA</v>
      </c>
      <c r="K838" s="7" t="s">
        <v>261</v>
      </c>
      <c r="L838" s="7"/>
      <c r="M838" s="7" t="s">
        <v>263</v>
      </c>
      <c r="N838" s="7" t="s">
        <v>1169</v>
      </c>
      <c r="O838" s="7"/>
      <c r="P838" s="35"/>
      <c r="Q838" s="7"/>
    </row>
    <row r="839">
      <c r="A839" s="7">
        <v>834.0</v>
      </c>
      <c r="B839" s="7" t="s">
        <v>265</v>
      </c>
      <c r="C839" s="7" t="str">
        <f>IFERROR(__xludf.DUMMYFUNCTION("GOOGLETRANSLATE($B839, $A$2, $B$2)"),"More than 30 days ago")</f>
        <v>More than 30 days ago</v>
      </c>
      <c r="D839" s="7" t="s">
        <v>1850</v>
      </c>
      <c r="E839" s="7" t="s">
        <v>348</v>
      </c>
      <c r="F839" s="7" t="s">
        <v>1846</v>
      </c>
      <c r="G839" s="7" t="s">
        <v>260</v>
      </c>
      <c r="H839" s="7" t="s">
        <v>261</v>
      </c>
      <c r="I839" s="7" t="s">
        <v>261</v>
      </c>
      <c r="J839" s="7" t="str">
        <f>IFERROR(__xludf.DUMMYFUNCTION("GOOGLETRANSLATE($I839, ""de"", ""en"")"),"NO SALARY DATA")</f>
        <v>NO SALARY DATA</v>
      </c>
      <c r="K839" s="7" t="s">
        <v>261</v>
      </c>
      <c r="L839" s="7" t="s">
        <v>694</v>
      </c>
      <c r="M839" s="7" t="s">
        <v>263</v>
      </c>
      <c r="N839" s="7" t="s">
        <v>331</v>
      </c>
      <c r="O839" s="7"/>
      <c r="P839" s="35"/>
      <c r="Q839" s="7"/>
    </row>
    <row r="840">
      <c r="A840" s="7">
        <v>835.0</v>
      </c>
      <c r="B840" s="7" t="s">
        <v>346</v>
      </c>
      <c r="C840" s="7" t="str">
        <f>IFERROR(__xludf.DUMMYFUNCTION("GOOGLETRANSLATE($B840, $A$2, $B$2)"),"12 days ago")</f>
        <v>12 days ago</v>
      </c>
      <c r="D840" s="7" t="s">
        <v>1851</v>
      </c>
      <c r="E840" s="7" t="s">
        <v>258</v>
      </c>
      <c r="F840" s="7" t="s">
        <v>1852</v>
      </c>
      <c r="G840" s="7" t="s">
        <v>260</v>
      </c>
      <c r="H840" s="7" t="s">
        <v>261</v>
      </c>
      <c r="I840" s="7" t="s">
        <v>261</v>
      </c>
      <c r="J840" s="7" t="str">
        <f>IFERROR(__xludf.DUMMYFUNCTION("GOOGLETRANSLATE($I840, ""de"", ""en"")"),"NO SALARY DATA")</f>
        <v>NO SALARY DATA</v>
      </c>
      <c r="K840" s="7" t="s">
        <v>261</v>
      </c>
      <c r="L840" s="7"/>
      <c r="M840" s="7" t="s">
        <v>263</v>
      </c>
      <c r="N840" s="7" t="s">
        <v>323</v>
      </c>
      <c r="O840" s="7"/>
      <c r="P840" s="37"/>
      <c r="Q840" s="7"/>
    </row>
    <row r="841">
      <c r="A841" s="7">
        <v>836.0</v>
      </c>
      <c r="B841" s="7" t="s">
        <v>346</v>
      </c>
      <c r="C841" s="7" t="str">
        <f>IFERROR(__xludf.DUMMYFUNCTION("GOOGLETRANSLATE($B841, $A$2, $B$2)"),"12 days ago")</f>
        <v>12 days ago</v>
      </c>
      <c r="D841" s="7" t="s">
        <v>1853</v>
      </c>
      <c r="E841" s="7" t="s">
        <v>258</v>
      </c>
      <c r="F841" s="7" t="s">
        <v>1854</v>
      </c>
      <c r="G841" s="7" t="s">
        <v>260</v>
      </c>
      <c r="H841" s="7" t="s">
        <v>261</v>
      </c>
      <c r="I841" s="7" t="s">
        <v>261</v>
      </c>
      <c r="J841" s="7" t="str">
        <f>IFERROR(__xludf.DUMMYFUNCTION("GOOGLETRANSLATE($I841, ""de"", ""en"")"),"NO SALARY DATA")</f>
        <v>NO SALARY DATA</v>
      </c>
      <c r="K841" s="7" t="s">
        <v>261</v>
      </c>
      <c r="L841" s="7" t="s">
        <v>318</v>
      </c>
      <c r="M841" s="7" t="s">
        <v>452</v>
      </c>
      <c r="N841" s="7" t="s">
        <v>260</v>
      </c>
      <c r="O841" s="7"/>
      <c r="P841" s="35"/>
      <c r="Q841" s="7"/>
    </row>
    <row r="842">
      <c r="A842" s="7">
        <v>837.0</v>
      </c>
      <c r="B842" s="7" t="s">
        <v>265</v>
      </c>
      <c r="C842" s="7" t="str">
        <f>IFERROR(__xludf.DUMMYFUNCTION("GOOGLETRANSLATE($B842, $A$2, $B$2)"),"More than 30 days ago")</f>
        <v>More than 30 days ago</v>
      </c>
      <c r="D842" s="7" t="s">
        <v>1855</v>
      </c>
      <c r="E842" s="7" t="s">
        <v>1241</v>
      </c>
      <c r="F842" s="7" t="s">
        <v>1856</v>
      </c>
      <c r="G842" s="7" t="s">
        <v>260</v>
      </c>
      <c r="H842" s="7" t="s">
        <v>261</v>
      </c>
      <c r="I842" s="7" t="s">
        <v>261</v>
      </c>
      <c r="J842" s="7" t="str">
        <f>IFERROR(__xludf.DUMMYFUNCTION("GOOGLETRANSLATE($I842, ""de"", ""en"")"),"NO SALARY DATA")</f>
        <v>NO SALARY DATA</v>
      </c>
      <c r="K842" s="7" t="s">
        <v>261</v>
      </c>
      <c r="L842" s="7" t="s">
        <v>649</v>
      </c>
      <c r="M842" s="7" t="s">
        <v>263</v>
      </c>
      <c r="N842" s="7" t="s">
        <v>1857</v>
      </c>
      <c r="O842" s="7"/>
      <c r="P842" s="35"/>
      <c r="Q842" s="7"/>
    </row>
    <row r="843">
      <c r="A843" s="7">
        <v>838.0</v>
      </c>
      <c r="B843" s="7" t="s">
        <v>265</v>
      </c>
      <c r="C843" s="7" t="str">
        <f>IFERROR(__xludf.DUMMYFUNCTION("GOOGLETRANSLATE($B843, $A$2, $B$2)"),"More than 30 days ago")</f>
        <v>More than 30 days ago</v>
      </c>
      <c r="D843" s="7" t="s">
        <v>1858</v>
      </c>
      <c r="E843" s="7" t="s">
        <v>280</v>
      </c>
      <c r="F843" s="7" t="s">
        <v>1859</v>
      </c>
      <c r="G843" s="7" t="s">
        <v>260</v>
      </c>
      <c r="H843" s="7" t="s">
        <v>261</v>
      </c>
      <c r="I843" s="7" t="s">
        <v>261</v>
      </c>
      <c r="J843" s="7" t="str">
        <f>IFERROR(__xludf.DUMMYFUNCTION("GOOGLETRANSLATE($I843, ""de"", ""en"")"),"NO SALARY DATA")</f>
        <v>NO SALARY DATA</v>
      </c>
      <c r="K843" s="7" t="s">
        <v>261</v>
      </c>
      <c r="L843" s="7" t="s">
        <v>327</v>
      </c>
      <c r="M843" s="7" t="s">
        <v>263</v>
      </c>
      <c r="N843" s="7" t="s">
        <v>275</v>
      </c>
      <c r="O843" s="7"/>
      <c r="P843" s="35"/>
      <c r="Q843" s="7"/>
    </row>
    <row r="844">
      <c r="A844" s="7">
        <v>839.0</v>
      </c>
      <c r="B844" s="7" t="s">
        <v>375</v>
      </c>
      <c r="C844" s="7" t="str">
        <f>IFERROR(__xludf.DUMMYFUNCTION("GOOGLETRANSLATE($B844, $A$2, $B$2)"),"6 days ago")</f>
        <v>6 days ago</v>
      </c>
      <c r="D844" s="7" t="s">
        <v>1860</v>
      </c>
      <c r="E844" s="7" t="s">
        <v>580</v>
      </c>
      <c r="F844" s="7" t="s">
        <v>1861</v>
      </c>
      <c r="G844" s="7" t="s">
        <v>260</v>
      </c>
      <c r="H844" s="7" t="s">
        <v>261</v>
      </c>
      <c r="I844" s="7" t="s">
        <v>261</v>
      </c>
      <c r="J844" s="7" t="str">
        <f>IFERROR(__xludf.DUMMYFUNCTION("GOOGLETRANSLATE($I844, ""de"", ""en"")"),"NO SALARY DATA")</f>
        <v>NO SALARY DATA</v>
      </c>
      <c r="K844" s="7" t="s">
        <v>261</v>
      </c>
      <c r="L844" s="7" t="s">
        <v>490</v>
      </c>
      <c r="M844" s="7" t="s">
        <v>263</v>
      </c>
      <c r="N844" s="7" t="s">
        <v>491</v>
      </c>
      <c r="O844" s="7"/>
      <c r="P844" s="35"/>
      <c r="Q844" s="7"/>
    </row>
    <row r="845">
      <c r="A845" s="7">
        <v>840.0</v>
      </c>
      <c r="B845" s="7" t="s">
        <v>265</v>
      </c>
      <c r="C845" s="7" t="str">
        <f>IFERROR(__xludf.DUMMYFUNCTION("GOOGLETRANSLATE($B845, $A$2, $B$2)"),"More than 30 days ago")</f>
        <v>More than 30 days ago</v>
      </c>
      <c r="D845" s="7" t="s">
        <v>1862</v>
      </c>
      <c r="E845" s="7" t="s">
        <v>1241</v>
      </c>
      <c r="F845" s="7" t="s">
        <v>1856</v>
      </c>
      <c r="G845" s="7" t="s">
        <v>260</v>
      </c>
      <c r="H845" s="7" t="s">
        <v>261</v>
      </c>
      <c r="I845" s="7" t="s">
        <v>261</v>
      </c>
      <c r="J845" s="7" t="str">
        <f>IFERROR(__xludf.DUMMYFUNCTION("GOOGLETRANSLATE($I845, ""de"", ""en"")"),"NO SALARY DATA")</f>
        <v>NO SALARY DATA</v>
      </c>
      <c r="K845" s="7" t="s">
        <v>261</v>
      </c>
      <c r="L845" s="7" t="s">
        <v>500</v>
      </c>
      <c r="M845" s="7" t="s">
        <v>263</v>
      </c>
      <c r="N845" s="7" t="s">
        <v>1857</v>
      </c>
      <c r="O845" s="7"/>
      <c r="P845" s="37"/>
      <c r="Q845" s="7"/>
    </row>
    <row r="846">
      <c r="A846" s="7">
        <v>841.0</v>
      </c>
      <c r="B846" s="7" t="s">
        <v>269</v>
      </c>
      <c r="C846" s="7" t="str">
        <f>IFERROR(__xludf.DUMMYFUNCTION("GOOGLETRANSLATE($B846, $A$2, $B$2)"),"5 days ago")</f>
        <v>5 days ago</v>
      </c>
      <c r="D846" s="7" t="s">
        <v>1841</v>
      </c>
      <c r="E846" s="7" t="s">
        <v>1842</v>
      </c>
      <c r="F846" s="7" t="s">
        <v>1843</v>
      </c>
      <c r="G846" s="7" t="s">
        <v>260</v>
      </c>
      <c r="H846" s="7" t="s">
        <v>261</v>
      </c>
      <c r="I846" s="7" t="s">
        <v>261</v>
      </c>
      <c r="J846" s="7" t="str">
        <f>IFERROR(__xludf.DUMMYFUNCTION("GOOGLETRANSLATE($I846, ""de"", ""en"")"),"NO SALARY DATA")</f>
        <v>NO SALARY DATA</v>
      </c>
      <c r="K846" s="7" t="s">
        <v>261</v>
      </c>
      <c r="L846" s="7" t="s">
        <v>398</v>
      </c>
      <c r="M846" s="7" t="s">
        <v>263</v>
      </c>
      <c r="N846" s="7" t="s">
        <v>260</v>
      </c>
      <c r="O846" s="7"/>
      <c r="P846" s="35"/>
      <c r="Q846" s="7"/>
    </row>
    <row r="847">
      <c r="A847" s="7">
        <v>842.0</v>
      </c>
      <c r="B847" s="7" t="s">
        <v>265</v>
      </c>
      <c r="C847" s="7" t="str">
        <f>IFERROR(__xludf.DUMMYFUNCTION("GOOGLETRANSLATE($B847, $A$2, $B$2)"),"More than 30 days ago")</f>
        <v>More than 30 days ago</v>
      </c>
      <c r="D847" s="7" t="s">
        <v>1239</v>
      </c>
      <c r="E847" s="7" t="s">
        <v>343</v>
      </c>
      <c r="F847" s="7" t="s">
        <v>1279</v>
      </c>
      <c r="G847" s="7" t="s">
        <v>260</v>
      </c>
      <c r="H847" s="7" t="s">
        <v>261</v>
      </c>
      <c r="I847" s="7" t="s">
        <v>261</v>
      </c>
      <c r="J847" s="7" t="str">
        <f>IFERROR(__xludf.DUMMYFUNCTION("GOOGLETRANSLATE($I847, ""de"", ""en"")"),"NO SALARY DATA")</f>
        <v>NO SALARY DATA</v>
      </c>
      <c r="K847" s="7" t="s">
        <v>261</v>
      </c>
      <c r="L847" s="7"/>
      <c r="M847" s="7" t="s">
        <v>263</v>
      </c>
      <c r="N847" s="7" t="s">
        <v>507</v>
      </c>
      <c r="O847" s="7"/>
      <c r="P847" s="37"/>
      <c r="Q847" s="7"/>
    </row>
    <row r="848">
      <c r="A848" s="7">
        <v>843.0</v>
      </c>
      <c r="B848" s="7" t="s">
        <v>269</v>
      </c>
      <c r="C848" s="7" t="str">
        <f>IFERROR(__xludf.DUMMYFUNCTION("GOOGLETRANSLATE($B848, $A$2, $B$2)"),"5 days ago")</f>
        <v>5 days ago</v>
      </c>
      <c r="D848" s="7" t="s">
        <v>1863</v>
      </c>
      <c r="E848" s="7" t="s">
        <v>280</v>
      </c>
      <c r="F848" s="7" t="s">
        <v>1848</v>
      </c>
      <c r="G848" s="7" t="s">
        <v>260</v>
      </c>
      <c r="H848" s="7" t="s">
        <v>261</v>
      </c>
      <c r="I848" s="7" t="s">
        <v>261</v>
      </c>
      <c r="J848" s="7" t="str">
        <f>IFERROR(__xludf.DUMMYFUNCTION("GOOGLETRANSLATE($I848, ""de"", ""en"")"),"NO SALARY DATA")</f>
        <v>NO SALARY DATA</v>
      </c>
      <c r="K848" s="7" t="s">
        <v>261</v>
      </c>
      <c r="L848" s="7"/>
      <c r="M848" s="7" t="s">
        <v>263</v>
      </c>
      <c r="N848" s="7" t="s">
        <v>260</v>
      </c>
      <c r="O848" s="7"/>
      <c r="P848" s="37"/>
      <c r="Q848" s="7"/>
    </row>
    <row r="849">
      <c r="A849" s="7">
        <v>844.0</v>
      </c>
      <c r="B849" s="7" t="s">
        <v>621</v>
      </c>
      <c r="C849" s="7" t="str">
        <f>IFERROR(__xludf.DUMMYFUNCTION("GOOGLETRANSLATE($B849, $A$2, $B$2)"),"20 days ago")</f>
        <v>20 days ago</v>
      </c>
      <c r="D849" s="7" t="s">
        <v>1864</v>
      </c>
      <c r="E849" s="7" t="s">
        <v>408</v>
      </c>
      <c r="F849" s="7" t="s">
        <v>1865</v>
      </c>
      <c r="G849" s="7" t="s">
        <v>260</v>
      </c>
      <c r="H849" s="7" t="s">
        <v>261</v>
      </c>
      <c r="I849" s="7" t="s">
        <v>261</v>
      </c>
      <c r="J849" s="7" t="str">
        <f>IFERROR(__xludf.DUMMYFUNCTION("GOOGLETRANSLATE($I849, ""de"", ""en"")"),"NO SALARY DATA")</f>
        <v>NO SALARY DATA</v>
      </c>
      <c r="K849" s="7" t="s">
        <v>261</v>
      </c>
      <c r="L849" s="7" t="s">
        <v>286</v>
      </c>
      <c r="M849" s="7" t="s">
        <v>263</v>
      </c>
      <c r="N849" s="7" t="s">
        <v>260</v>
      </c>
      <c r="O849" s="7"/>
      <c r="P849" s="35"/>
      <c r="Q849" s="7"/>
    </row>
    <row r="850">
      <c r="A850" s="7">
        <v>845.0</v>
      </c>
      <c r="B850" s="7" t="s">
        <v>346</v>
      </c>
      <c r="C850" s="7" t="str">
        <f>IFERROR(__xludf.DUMMYFUNCTION("GOOGLETRANSLATE($B850, $A$2, $B$2)"),"12 days ago")</f>
        <v>12 days ago</v>
      </c>
      <c r="D850" s="7" t="s">
        <v>1866</v>
      </c>
      <c r="E850" s="7" t="s">
        <v>258</v>
      </c>
      <c r="F850" s="7" t="s">
        <v>1867</v>
      </c>
      <c r="G850" s="7" t="s">
        <v>260</v>
      </c>
      <c r="H850" s="7" t="s">
        <v>261</v>
      </c>
      <c r="I850" s="7" t="s">
        <v>261</v>
      </c>
      <c r="J850" s="7" t="str">
        <f>IFERROR(__xludf.DUMMYFUNCTION("GOOGLETRANSLATE($I850, ""de"", ""en"")"),"NO SALARY DATA")</f>
        <v>NO SALARY DATA</v>
      </c>
      <c r="K850" s="7" t="s">
        <v>261</v>
      </c>
      <c r="L850" s="7"/>
      <c r="M850" s="7" t="s">
        <v>263</v>
      </c>
      <c r="N850" s="7" t="s">
        <v>323</v>
      </c>
      <c r="O850" s="7"/>
      <c r="P850" s="35"/>
      <c r="Q850" s="7"/>
    </row>
    <row r="851">
      <c r="A851" s="7">
        <v>846.0</v>
      </c>
      <c r="B851" s="7" t="s">
        <v>265</v>
      </c>
      <c r="C851" s="7" t="str">
        <f>IFERROR(__xludf.DUMMYFUNCTION("GOOGLETRANSLATE($B851, $A$2, $B$2)"),"More than 30 days ago")</f>
        <v>More than 30 days ago</v>
      </c>
      <c r="D851" s="7" t="s">
        <v>1868</v>
      </c>
      <c r="E851" s="7" t="s">
        <v>1355</v>
      </c>
      <c r="F851" s="7" t="s">
        <v>1869</v>
      </c>
      <c r="G851" s="7" t="s">
        <v>260</v>
      </c>
      <c r="H851" s="7" t="s">
        <v>261</v>
      </c>
      <c r="I851" s="7" t="s">
        <v>261</v>
      </c>
      <c r="J851" s="7" t="str">
        <f>IFERROR(__xludf.DUMMYFUNCTION("GOOGLETRANSLATE($I851, ""de"", ""en"")"),"NO SALARY DATA")</f>
        <v>NO SALARY DATA</v>
      </c>
      <c r="K851" s="7" t="s">
        <v>261</v>
      </c>
      <c r="L851" s="7" t="s">
        <v>433</v>
      </c>
      <c r="M851" s="7" t="s">
        <v>263</v>
      </c>
      <c r="N851" s="7" t="s">
        <v>434</v>
      </c>
      <c r="O851" s="7"/>
      <c r="P851" s="35"/>
      <c r="Q851" s="7"/>
    </row>
    <row r="852">
      <c r="A852" s="7">
        <v>847.0</v>
      </c>
      <c r="B852" s="7" t="s">
        <v>265</v>
      </c>
      <c r="C852" s="7" t="str">
        <f>IFERROR(__xludf.DUMMYFUNCTION("GOOGLETRANSLATE($B852, $A$2, $B$2)"),"More than 30 days ago")</f>
        <v>More than 30 days ago</v>
      </c>
      <c r="D852" s="7" t="s">
        <v>1870</v>
      </c>
      <c r="E852" s="7" t="s">
        <v>348</v>
      </c>
      <c r="F852" s="7" t="s">
        <v>1846</v>
      </c>
      <c r="G852" s="7" t="s">
        <v>260</v>
      </c>
      <c r="H852" s="7" t="s">
        <v>261</v>
      </c>
      <c r="I852" s="7" t="s">
        <v>261</v>
      </c>
      <c r="J852" s="7" t="str">
        <f>IFERROR(__xludf.DUMMYFUNCTION("GOOGLETRANSLATE($I852, ""de"", ""en"")"),"NO SALARY DATA")</f>
        <v>NO SALARY DATA</v>
      </c>
      <c r="K852" s="7" t="s">
        <v>261</v>
      </c>
      <c r="L852" s="7" t="s">
        <v>451</v>
      </c>
      <c r="M852" s="7" t="s">
        <v>263</v>
      </c>
      <c r="N852" s="7" t="s">
        <v>331</v>
      </c>
      <c r="O852" s="7"/>
      <c r="P852" s="35"/>
      <c r="Q852" s="7"/>
    </row>
    <row r="853">
      <c r="A853" s="7">
        <v>848.0</v>
      </c>
      <c r="B853" s="7" t="s">
        <v>346</v>
      </c>
      <c r="C853" s="7" t="str">
        <f>IFERROR(__xludf.DUMMYFUNCTION("GOOGLETRANSLATE($B853, $A$2, $B$2)"),"12 days ago")</f>
        <v>12 days ago</v>
      </c>
      <c r="D853" s="7" t="s">
        <v>1871</v>
      </c>
      <c r="E853" s="7" t="s">
        <v>1872</v>
      </c>
      <c r="F853" s="7" t="s">
        <v>1873</v>
      </c>
      <c r="G853" s="7" t="s">
        <v>260</v>
      </c>
      <c r="H853" s="7" t="s">
        <v>261</v>
      </c>
      <c r="I853" s="7" t="s">
        <v>261</v>
      </c>
      <c r="J853" s="7" t="str">
        <f>IFERROR(__xludf.DUMMYFUNCTION("GOOGLETRANSLATE($I853, ""de"", ""en"")"),"NO SALARY DATA")</f>
        <v>NO SALARY DATA</v>
      </c>
      <c r="K853" s="7" t="s">
        <v>261</v>
      </c>
      <c r="L853" s="7" t="s">
        <v>286</v>
      </c>
      <c r="M853" s="7" t="s">
        <v>263</v>
      </c>
      <c r="N853" s="7" t="s">
        <v>301</v>
      </c>
      <c r="O853" s="7"/>
      <c r="P853" s="35"/>
      <c r="Q853" s="7"/>
    </row>
    <row r="854">
      <c r="A854" s="7">
        <v>849.0</v>
      </c>
      <c r="B854" s="7" t="s">
        <v>705</v>
      </c>
      <c r="C854" s="7" t="str">
        <f>IFERROR(__xludf.DUMMYFUNCTION("GOOGLETRANSLATE($B854, $A$2, $B$2)"),"9 days ago")</f>
        <v>9 days ago</v>
      </c>
      <c r="D854" s="7" t="s">
        <v>1812</v>
      </c>
      <c r="E854" s="7" t="s">
        <v>669</v>
      </c>
      <c r="F854" s="7" t="s">
        <v>1874</v>
      </c>
      <c r="G854" s="7" t="s">
        <v>260</v>
      </c>
      <c r="H854" s="7" t="s">
        <v>261</v>
      </c>
      <c r="I854" s="7" t="s">
        <v>261</v>
      </c>
      <c r="J854" s="7" t="str">
        <f>IFERROR(__xludf.DUMMYFUNCTION("GOOGLETRANSLATE($I854, ""de"", ""en"")"),"NO SALARY DATA")</f>
        <v>NO SALARY DATA</v>
      </c>
      <c r="K854" s="7" t="s">
        <v>261</v>
      </c>
      <c r="L854" s="7"/>
      <c r="M854" s="7" t="s">
        <v>263</v>
      </c>
      <c r="N854" s="7" t="s">
        <v>399</v>
      </c>
      <c r="O854" s="7"/>
      <c r="P854" s="35"/>
      <c r="Q854" s="7"/>
    </row>
    <row r="855">
      <c r="A855" s="7">
        <v>850.0</v>
      </c>
      <c r="B855" s="7" t="s">
        <v>341</v>
      </c>
      <c r="C855" s="7" t="str">
        <f>IFERROR(__xludf.DUMMYFUNCTION("GOOGLETRANSLATE($B855, $A$2, $B$2)"),"before 14 days")</f>
        <v>before 14 days</v>
      </c>
      <c r="D855" s="7" t="s">
        <v>1812</v>
      </c>
      <c r="E855" s="7" t="s">
        <v>669</v>
      </c>
      <c r="F855" s="7" t="s">
        <v>1875</v>
      </c>
      <c r="G855" s="7" t="s">
        <v>260</v>
      </c>
      <c r="H855" s="7" t="s">
        <v>261</v>
      </c>
      <c r="I855" s="7" t="s">
        <v>261</v>
      </c>
      <c r="J855" s="7" t="str">
        <f>IFERROR(__xludf.DUMMYFUNCTION("GOOGLETRANSLATE($I855, ""de"", ""en"")"),"NO SALARY DATA")</f>
        <v>NO SALARY DATA</v>
      </c>
      <c r="K855" s="7" t="s">
        <v>261</v>
      </c>
      <c r="L855" s="7"/>
      <c r="M855" s="7" t="s">
        <v>263</v>
      </c>
      <c r="N855" s="7" t="s">
        <v>275</v>
      </c>
      <c r="O855" s="7"/>
      <c r="P855" s="37"/>
      <c r="Q855" s="7"/>
    </row>
    <row r="856">
      <c r="A856" s="7">
        <v>851.0</v>
      </c>
      <c r="B856" s="7" t="s">
        <v>265</v>
      </c>
      <c r="C856" s="7" t="str">
        <f>IFERROR(__xludf.DUMMYFUNCTION("GOOGLETRANSLATE($B856, $A$2, $B$2)"),"More than 30 days ago")</f>
        <v>More than 30 days ago</v>
      </c>
      <c r="D856" s="7" t="s">
        <v>1876</v>
      </c>
      <c r="E856" s="7" t="s">
        <v>1877</v>
      </c>
      <c r="F856" s="7" t="s">
        <v>1878</v>
      </c>
      <c r="G856" s="7" t="s">
        <v>260</v>
      </c>
      <c r="H856" s="7" t="s">
        <v>261</v>
      </c>
      <c r="I856" s="7" t="s">
        <v>261</v>
      </c>
      <c r="J856" s="7" t="str">
        <f>IFERROR(__xludf.DUMMYFUNCTION("GOOGLETRANSLATE($I856, ""de"", ""en"")"),"NO SALARY DATA")</f>
        <v>NO SALARY DATA</v>
      </c>
      <c r="K856" s="7" t="s">
        <v>261</v>
      </c>
      <c r="L856" s="7" t="s">
        <v>649</v>
      </c>
      <c r="M856" s="7" t="s">
        <v>263</v>
      </c>
      <c r="N856" s="7" t="s">
        <v>260</v>
      </c>
      <c r="O856" s="7"/>
      <c r="P856" s="35"/>
      <c r="Q856" s="7"/>
    </row>
    <row r="857">
      <c r="A857" s="7">
        <v>852.0</v>
      </c>
      <c r="B857" s="7" t="s">
        <v>265</v>
      </c>
      <c r="C857" s="7" t="str">
        <f>IFERROR(__xludf.DUMMYFUNCTION("GOOGLETRANSLATE($B857, $A$2, $B$2)"),"More than 30 days ago")</f>
        <v>More than 30 days ago</v>
      </c>
      <c r="D857" s="7" t="s">
        <v>1879</v>
      </c>
      <c r="E857" s="7" t="s">
        <v>343</v>
      </c>
      <c r="F857" s="7" t="s">
        <v>1880</v>
      </c>
      <c r="G857" s="7" t="s">
        <v>260</v>
      </c>
      <c r="H857" s="7" t="s">
        <v>261</v>
      </c>
      <c r="I857" s="7" t="s">
        <v>261</v>
      </c>
      <c r="J857" s="7" t="str">
        <f>IFERROR(__xludf.DUMMYFUNCTION("GOOGLETRANSLATE($I857, ""de"", ""en"")"),"NO SALARY DATA")</f>
        <v>NO SALARY DATA</v>
      </c>
      <c r="K857" s="7" t="s">
        <v>261</v>
      </c>
      <c r="L857" s="7" t="s">
        <v>286</v>
      </c>
      <c r="M857" s="7" t="s">
        <v>263</v>
      </c>
      <c r="N857" s="7" t="s">
        <v>491</v>
      </c>
      <c r="O857" s="7"/>
      <c r="P857" s="35"/>
      <c r="Q857" s="7"/>
    </row>
    <row r="858">
      <c r="A858" s="7">
        <v>853.0</v>
      </c>
      <c r="B858" s="7" t="s">
        <v>265</v>
      </c>
      <c r="C858" s="7" t="str">
        <f>IFERROR(__xludf.DUMMYFUNCTION("GOOGLETRANSLATE($B858, $A$2, $B$2)"),"More than 30 days ago")</f>
        <v>More than 30 days ago</v>
      </c>
      <c r="D858" s="7" t="s">
        <v>1881</v>
      </c>
      <c r="E858" s="7" t="s">
        <v>669</v>
      </c>
      <c r="F858" s="7" t="s">
        <v>1882</v>
      </c>
      <c r="G858" s="7" t="s">
        <v>260</v>
      </c>
      <c r="H858" s="7" t="s">
        <v>261</v>
      </c>
      <c r="I858" s="7" t="s">
        <v>261</v>
      </c>
      <c r="J858" s="7" t="str">
        <f>IFERROR(__xludf.DUMMYFUNCTION("GOOGLETRANSLATE($I858, ""de"", ""en"")"),"NO SALARY DATA")</f>
        <v>NO SALARY DATA</v>
      </c>
      <c r="K858" s="7" t="s">
        <v>261</v>
      </c>
      <c r="L858" s="7"/>
      <c r="M858" s="7" t="s">
        <v>263</v>
      </c>
      <c r="N858" s="7" t="s">
        <v>296</v>
      </c>
      <c r="O858" s="7"/>
      <c r="P858" s="35"/>
      <c r="Q858" s="7"/>
    </row>
    <row r="859">
      <c r="A859" s="7">
        <v>854.0</v>
      </c>
      <c r="B859" s="7" t="s">
        <v>892</v>
      </c>
      <c r="C859" s="7" t="str">
        <f>IFERROR(__xludf.DUMMYFUNCTION("GOOGLETRANSLATE($B859, $A$2, $B$2)"),"25 days ago")</f>
        <v>25 days ago</v>
      </c>
      <c r="D859" s="7" t="s">
        <v>1883</v>
      </c>
      <c r="E859" s="7" t="s">
        <v>436</v>
      </c>
      <c r="F859" s="7" t="s">
        <v>437</v>
      </c>
      <c r="G859" s="7" t="s">
        <v>260</v>
      </c>
      <c r="H859" s="7" t="s">
        <v>261</v>
      </c>
      <c r="I859" s="7" t="s">
        <v>261</v>
      </c>
      <c r="J859" s="7" t="str">
        <f>IFERROR(__xludf.DUMMYFUNCTION("GOOGLETRANSLATE($I859, ""de"", ""en"")"),"NO SALARY DATA")</f>
        <v>NO SALARY DATA</v>
      </c>
      <c r="K859" s="7" t="s">
        <v>261</v>
      </c>
      <c r="L859" s="7" t="s">
        <v>282</v>
      </c>
      <c r="M859" s="7" t="s">
        <v>263</v>
      </c>
      <c r="N859" s="7" t="s">
        <v>296</v>
      </c>
      <c r="O859" s="7"/>
      <c r="P859" s="37"/>
      <c r="Q859" s="7"/>
    </row>
    <row r="860">
      <c r="A860" s="7">
        <v>855.0</v>
      </c>
      <c r="B860" s="7" t="s">
        <v>346</v>
      </c>
      <c r="C860" s="7" t="str">
        <f>IFERROR(__xludf.DUMMYFUNCTION("GOOGLETRANSLATE($B860, $A$2, $B$2)"),"12 days ago")</f>
        <v>12 days ago</v>
      </c>
      <c r="D860" s="7" t="s">
        <v>1853</v>
      </c>
      <c r="E860" s="7" t="s">
        <v>258</v>
      </c>
      <c r="F860" s="7" t="s">
        <v>1854</v>
      </c>
      <c r="G860" s="7" t="s">
        <v>260</v>
      </c>
      <c r="H860" s="7" t="s">
        <v>261</v>
      </c>
      <c r="I860" s="7" t="s">
        <v>261</v>
      </c>
      <c r="J860" s="7" t="str">
        <f>IFERROR(__xludf.DUMMYFUNCTION("GOOGLETRANSLATE($I860, ""de"", ""en"")"),"NO SALARY DATA")</f>
        <v>NO SALARY DATA</v>
      </c>
      <c r="K860" s="7" t="s">
        <v>261</v>
      </c>
      <c r="L860" s="7" t="s">
        <v>318</v>
      </c>
      <c r="M860" s="7" t="s">
        <v>452</v>
      </c>
      <c r="N860" s="7" t="s">
        <v>260</v>
      </c>
      <c r="O860" s="7"/>
      <c r="P860" s="35"/>
      <c r="Q860" s="7"/>
    </row>
    <row r="861">
      <c r="A861" s="7">
        <v>856.0</v>
      </c>
      <c r="B861" s="7" t="s">
        <v>341</v>
      </c>
      <c r="C861" s="7" t="str">
        <f>IFERROR(__xludf.DUMMYFUNCTION("GOOGLETRANSLATE($B861, $A$2, $B$2)"),"before 14 days")</f>
        <v>before 14 days</v>
      </c>
      <c r="D861" s="7" t="s">
        <v>1812</v>
      </c>
      <c r="E861" s="7" t="s">
        <v>1300</v>
      </c>
      <c r="F861" s="7" t="s">
        <v>1875</v>
      </c>
      <c r="G861" s="7" t="s">
        <v>260</v>
      </c>
      <c r="H861" s="7" t="s">
        <v>261</v>
      </c>
      <c r="I861" s="7" t="s">
        <v>261</v>
      </c>
      <c r="J861" s="7" t="str">
        <f>IFERROR(__xludf.DUMMYFUNCTION("GOOGLETRANSLATE($I861, ""de"", ""en"")"),"NO SALARY DATA")</f>
        <v>NO SALARY DATA</v>
      </c>
      <c r="K861" s="7" t="s">
        <v>261</v>
      </c>
      <c r="L861" s="7"/>
      <c r="M861" s="7" t="s">
        <v>263</v>
      </c>
      <c r="N861" s="7" t="s">
        <v>275</v>
      </c>
      <c r="O861" s="7"/>
      <c r="P861" s="37"/>
      <c r="Q861" s="7"/>
    </row>
    <row r="862">
      <c r="A862" s="7">
        <v>857.0</v>
      </c>
      <c r="B862" s="7" t="s">
        <v>265</v>
      </c>
      <c r="C862" s="7" t="str">
        <f>IFERROR(__xludf.DUMMYFUNCTION("GOOGLETRANSLATE($B862, $A$2, $B$2)"),"More than 30 days ago")</f>
        <v>More than 30 days ago</v>
      </c>
      <c r="D862" s="7" t="s">
        <v>1884</v>
      </c>
      <c r="E862" s="7" t="s">
        <v>271</v>
      </c>
      <c r="F862" s="7" t="s">
        <v>1885</v>
      </c>
      <c r="G862" s="7" t="s">
        <v>260</v>
      </c>
      <c r="H862" s="7" t="s">
        <v>261</v>
      </c>
      <c r="I862" s="7" t="s">
        <v>261</v>
      </c>
      <c r="J862" s="7" t="str">
        <f>IFERROR(__xludf.DUMMYFUNCTION("GOOGLETRANSLATE($I862, ""de"", ""en"")"),"NO SALARY DATA")</f>
        <v>NO SALARY DATA</v>
      </c>
      <c r="K862" s="7" t="s">
        <v>261</v>
      </c>
      <c r="L862" s="7" t="s">
        <v>1886</v>
      </c>
      <c r="M862" s="7" t="s">
        <v>452</v>
      </c>
      <c r="N862" s="7" t="s">
        <v>260</v>
      </c>
      <c r="O862" s="7"/>
      <c r="P862" s="37"/>
      <c r="Q862" s="7"/>
    </row>
    <row r="863">
      <c r="A863" s="7">
        <v>858.0</v>
      </c>
      <c r="B863" s="7" t="s">
        <v>265</v>
      </c>
      <c r="C863" s="7" t="str">
        <f>IFERROR(__xludf.DUMMYFUNCTION("GOOGLETRANSLATE($B863, $A$2, $B$2)"),"More than 30 days ago")</f>
        <v>More than 30 days ago</v>
      </c>
      <c r="D863" s="7" t="s">
        <v>1887</v>
      </c>
      <c r="E863" s="7" t="s">
        <v>352</v>
      </c>
      <c r="F863" s="7" t="s">
        <v>1888</v>
      </c>
      <c r="G863" s="7" t="s">
        <v>1889</v>
      </c>
      <c r="H863" s="7">
        <v>75000.0</v>
      </c>
      <c r="I863" s="7" t="s">
        <v>384</v>
      </c>
      <c r="J863" s="7" t="str">
        <f>IFERROR(__xludf.DUMMYFUNCTION("GOOGLETRANSLATE($I863, ""de"", ""en"")"),"year")</f>
        <v>year</v>
      </c>
      <c r="K863" s="7">
        <v>75000.0</v>
      </c>
      <c r="L863" s="7" t="s">
        <v>860</v>
      </c>
      <c r="M863" s="7" t="s">
        <v>263</v>
      </c>
      <c r="N863" s="7" t="s">
        <v>260</v>
      </c>
      <c r="O863" s="7"/>
      <c r="P863" s="35"/>
      <c r="Q863" s="7"/>
    </row>
    <row r="864">
      <c r="A864" s="7">
        <v>859.0</v>
      </c>
      <c r="B864" s="7" t="s">
        <v>265</v>
      </c>
      <c r="C864" s="7" t="str">
        <f>IFERROR(__xludf.DUMMYFUNCTION("GOOGLETRANSLATE($B864, $A$2, $B$2)"),"More than 30 days ago")</f>
        <v>More than 30 days ago</v>
      </c>
      <c r="D864" s="7" t="s">
        <v>1890</v>
      </c>
      <c r="E864" s="7" t="s">
        <v>1891</v>
      </c>
      <c r="F864" s="7" t="s">
        <v>344</v>
      </c>
      <c r="G864" s="7" t="s">
        <v>260</v>
      </c>
      <c r="H864" s="7" t="s">
        <v>261</v>
      </c>
      <c r="I864" s="7" t="s">
        <v>261</v>
      </c>
      <c r="J864" s="7" t="str">
        <f>IFERROR(__xludf.DUMMYFUNCTION("GOOGLETRANSLATE($I864, ""de"", ""en"")"),"NO SALARY DATA")</f>
        <v>NO SALARY DATA</v>
      </c>
      <c r="K864" s="7" t="s">
        <v>261</v>
      </c>
      <c r="L864" s="7" t="s">
        <v>585</v>
      </c>
      <c r="M864" s="7" t="s">
        <v>263</v>
      </c>
      <c r="N864" s="7" t="s">
        <v>323</v>
      </c>
      <c r="O864" s="7"/>
      <c r="P864" s="35"/>
      <c r="Q864" s="7"/>
    </row>
    <row r="865">
      <c r="A865" s="7">
        <v>860.0</v>
      </c>
      <c r="B865" s="7" t="s">
        <v>559</v>
      </c>
      <c r="C865" s="7" t="str">
        <f>IFERROR(__xludf.DUMMYFUNCTION("GOOGLETRANSLATE($B865, $A$2, $B$2)"),"18 days ago")</f>
        <v>18 days ago</v>
      </c>
      <c r="D865" s="7" t="s">
        <v>685</v>
      </c>
      <c r="E865" s="7" t="s">
        <v>280</v>
      </c>
      <c r="F865" s="7" t="s">
        <v>1882</v>
      </c>
      <c r="G865" s="7" t="s">
        <v>260</v>
      </c>
      <c r="H865" s="7" t="s">
        <v>261</v>
      </c>
      <c r="I865" s="7" t="s">
        <v>261</v>
      </c>
      <c r="J865" s="7" t="str">
        <f>IFERROR(__xludf.DUMMYFUNCTION("GOOGLETRANSLATE($I865, ""de"", ""en"")"),"NO SALARY DATA")</f>
        <v>NO SALARY DATA</v>
      </c>
      <c r="K865" s="7" t="s">
        <v>261</v>
      </c>
      <c r="L865" s="7" t="s">
        <v>1892</v>
      </c>
      <c r="M865" s="7" t="s">
        <v>263</v>
      </c>
      <c r="N865" s="7" t="s">
        <v>296</v>
      </c>
      <c r="O865" s="7"/>
      <c r="P865" s="35"/>
      <c r="Q865" s="7"/>
    </row>
    <row r="866">
      <c r="A866" s="7">
        <v>861.0</v>
      </c>
      <c r="B866" s="7" t="s">
        <v>265</v>
      </c>
      <c r="C866" s="7" t="str">
        <f>IFERROR(__xludf.DUMMYFUNCTION("GOOGLETRANSLATE($B866, $A$2, $B$2)"),"More than 30 days ago")</f>
        <v>More than 30 days ago</v>
      </c>
      <c r="D866" s="7" t="s">
        <v>1893</v>
      </c>
      <c r="E866" s="7" t="s">
        <v>343</v>
      </c>
      <c r="F866" s="7" t="s">
        <v>1894</v>
      </c>
      <c r="G866" s="7" t="s">
        <v>260</v>
      </c>
      <c r="H866" s="7" t="s">
        <v>261</v>
      </c>
      <c r="I866" s="7" t="s">
        <v>261</v>
      </c>
      <c r="J866" s="7" t="str">
        <f>IFERROR(__xludf.DUMMYFUNCTION("GOOGLETRANSLATE($I866, ""de"", ""en"")"),"NO SALARY DATA")</f>
        <v>NO SALARY DATA</v>
      </c>
      <c r="K866" s="7" t="s">
        <v>261</v>
      </c>
      <c r="L866" s="7" t="s">
        <v>425</v>
      </c>
      <c r="M866" s="7" t="s">
        <v>263</v>
      </c>
      <c r="N866" s="7" t="s">
        <v>296</v>
      </c>
      <c r="O866" s="7"/>
      <c r="P866" s="35"/>
      <c r="Q866" s="7"/>
    </row>
    <row r="867">
      <c r="A867" s="7">
        <v>862.0</v>
      </c>
      <c r="B867" s="7" t="s">
        <v>265</v>
      </c>
      <c r="C867" s="7" t="str">
        <f>IFERROR(__xludf.DUMMYFUNCTION("GOOGLETRANSLATE($B867, $A$2, $B$2)"),"More than 30 days ago")</f>
        <v>More than 30 days ago</v>
      </c>
      <c r="D867" s="7" t="s">
        <v>1895</v>
      </c>
      <c r="E867" s="7" t="s">
        <v>480</v>
      </c>
      <c r="F867" s="7" t="s">
        <v>1882</v>
      </c>
      <c r="G867" s="7" t="s">
        <v>260</v>
      </c>
      <c r="H867" s="7" t="s">
        <v>261</v>
      </c>
      <c r="I867" s="7" t="s">
        <v>261</v>
      </c>
      <c r="J867" s="7" t="str">
        <f>IFERROR(__xludf.DUMMYFUNCTION("GOOGLETRANSLATE($I867, ""de"", ""en"")"),"NO SALARY DATA")</f>
        <v>NO SALARY DATA</v>
      </c>
      <c r="K867" s="7" t="s">
        <v>261</v>
      </c>
      <c r="L867" s="7" t="s">
        <v>286</v>
      </c>
      <c r="M867" s="7" t="s">
        <v>263</v>
      </c>
      <c r="N867" s="7" t="s">
        <v>296</v>
      </c>
      <c r="O867" s="7"/>
      <c r="P867" s="35"/>
      <c r="Q867" s="7"/>
    </row>
    <row r="868">
      <c r="A868" s="7">
        <v>863.0</v>
      </c>
      <c r="B868" s="7" t="s">
        <v>288</v>
      </c>
      <c r="C868" s="7" t="str">
        <f>IFERROR(__xludf.DUMMYFUNCTION("GOOGLETRANSLATE($B868, $A$2, $B$2)"),"2 days ago")</f>
        <v>2 days ago</v>
      </c>
      <c r="D868" s="7" t="s">
        <v>1896</v>
      </c>
      <c r="E868" s="7" t="s">
        <v>348</v>
      </c>
      <c r="F868" s="7" t="s">
        <v>1846</v>
      </c>
      <c r="G868" s="7" t="s">
        <v>260</v>
      </c>
      <c r="H868" s="7" t="s">
        <v>261</v>
      </c>
      <c r="I868" s="7" t="s">
        <v>261</v>
      </c>
      <c r="J868" s="7" t="str">
        <f>IFERROR(__xludf.DUMMYFUNCTION("GOOGLETRANSLATE($I868, ""de"", ""en"")"),"NO SALARY DATA")</f>
        <v>NO SALARY DATA</v>
      </c>
      <c r="K868" s="7" t="s">
        <v>261</v>
      </c>
      <c r="L868" s="7" t="s">
        <v>282</v>
      </c>
      <c r="M868" s="7" t="s">
        <v>263</v>
      </c>
      <c r="N868" s="7" t="s">
        <v>331</v>
      </c>
      <c r="O868" s="7"/>
      <c r="P868" s="35"/>
      <c r="Q868" s="7"/>
    </row>
    <row r="869">
      <c r="A869" s="7">
        <v>864.0</v>
      </c>
      <c r="B869" s="7" t="s">
        <v>265</v>
      </c>
      <c r="C869" s="7" t="str">
        <f>IFERROR(__xludf.DUMMYFUNCTION("GOOGLETRANSLATE($B869, $A$2, $B$2)"),"More than 30 days ago")</f>
        <v>More than 30 days ago</v>
      </c>
      <c r="D869" s="7" t="s">
        <v>1897</v>
      </c>
      <c r="E869" s="7" t="s">
        <v>1898</v>
      </c>
      <c r="F869" s="7" t="s">
        <v>1882</v>
      </c>
      <c r="G869" s="7" t="s">
        <v>260</v>
      </c>
      <c r="H869" s="7" t="s">
        <v>261</v>
      </c>
      <c r="I869" s="7" t="s">
        <v>261</v>
      </c>
      <c r="J869" s="7" t="str">
        <f>IFERROR(__xludf.DUMMYFUNCTION("GOOGLETRANSLATE($I869, ""de"", ""en"")"),"NO SALARY DATA")</f>
        <v>NO SALARY DATA</v>
      </c>
      <c r="K869" s="7" t="s">
        <v>261</v>
      </c>
      <c r="L869" s="7" t="s">
        <v>423</v>
      </c>
      <c r="M869" s="7" t="s">
        <v>263</v>
      </c>
      <c r="N869" s="7" t="s">
        <v>296</v>
      </c>
      <c r="O869" s="7"/>
      <c r="P869" s="35"/>
      <c r="Q869" s="7"/>
    </row>
    <row r="870">
      <c r="A870" s="7">
        <v>865.0</v>
      </c>
      <c r="B870" s="7" t="s">
        <v>533</v>
      </c>
      <c r="C870" s="7" t="str">
        <f>IFERROR(__xludf.DUMMYFUNCTION("GOOGLETRANSLATE($B870, $A$2, $B$2)"),"11 days ago")</f>
        <v>11 days ago</v>
      </c>
      <c r="D870" s="7" t="s">
        <v>1899</v>
      </c>
      <c r="E870" s="7" t="s">
        <v>408</v>
      </c>
      <c r="F870" s="7" t="s">
        <v>1900</v>
      </c>
      <c r="G870" s="7" t="s">
        <v>260</v>
      </c>
      <c r="H870" s="7" t="s">
        <v>261</v>
      </c>
      <c r="I870" s="7" t="s">
        <v>261</v>
      </c>
      <c r="J870" s="7" t="str">
        <f>IFERROR(__xludf.DUMMYFUNCTION("GOOGLETRANSLATE($I870, ""de"", ""en"")"),"NO SALARY DATA")</f>
        <v>NO SALARY DATA</v>
      </c>
      <c r="K870" s="7" t="s">
        <v>261</v>
      </c>
      <c r="L870" s="7" t="s">
        <v>777</v>
      </c>
      <c r="M870" s="7" t="s">
        <v>1901</v>
      </c>
      <c r="N870" s="7" t="s">
        <v>420</v>
      </c>
      <c r="O870" s="7"/>
      <c r="P870" s="35"/>
      <c r="Q870" s="7"/>
    </row>
    <row r="871">
      <c r="A871" s="7">
        <v>866.0</v>
      </c>
      <c r="B871" s="7" t="s">
        <v>265</v>
      </c>
      <c r="C871" s="7" t="str">
        <f>IFERROR(__xludf.DUMMYFUNCTION("GOOGLETRANSLATE($B871, $A$2, $B$2)"),"More than 30 days ago")</f>
        <v>More than 30 days ago</v>
      </c>
      <c r="D871" s="7" t="s">
        <v>706</v>
      </c>
      <c r="E871" s="7" t="s">
        <v>1100</v>
      </c>
      <c r="F871" s="7" t="s">
        <v>1902</v>
      </c>
      <c r="G871" s="7" t="s">
        <v>260</v>
      </c>
      <c r="H871" s="7" t="s">
        <v>261</v>
      </c>
      <c r="I871" s="7" t="s">
        <v>261</v>
      </c>
      <c r="J871" s="7" t="str">
        <f>IFERROR(__xludf.DUMMYFUNCTION("GOOGLETRANSLATE($I871, ""de"", ""en"")"),"NO SALARY DATA")</f>
        <v>NO SALARY DATA</v>
      </c>
      <c r="K871" s="7" t="s">
        <v>261</v>
      </c>
      <c r="L871" s="7" t="s">
        <v>327</v>
      </c>
      <c r="M871" s="7" t="s">
        <v>263</v>
      </c>
      <c r="N871" s="7" t="s">
        <v>507</v>
      </c>
      <c r="O871" s="7"/>
      <c r="P871" s="37"/>
      <c r="Q871" s="7"/>
    </row>
    <row r="872">
      <c r="A872" s="7">
        <v>867.0</v>
      </c>
      <c r="B872" s="7" t="s">
        <v>265</v>
      </c>
      <c r="C872" s="7" t="str">
        <f>IFERROR(__xludf.DUMMYFUNCTION("GOOGLETRANSLATE($B872, $A$2, $B$2)"),"More than 30 days ago")</f>
        <v>More than 30 days ago</v>
      </c>
      <c r="D872" s="7" t="s">
        <v>1903</v>
      </c>
      <c r="E872" s="7" t="s">
        <v>1904</v>
      </c>
      <c r="F872" s="7" t="s">
        <v>1905</v>
      </c>
      <c r="G872" s="7" t="s">
        <v>260</v>
      </c>
      <c r="H872" s="7" t="s">
        <v>261</v>
      </c>
      <c r="I872" s="7" t="s">
        <v>261</v>
      </c>
      <c r="J872" s="7" t="str">
        <f>IFERROR(__xludf.DUMMYFUNCTION("GOOGLETRANSLATE($I872, ""de"", ""en"")"),"NO SALARY DATA")</f>
        <v>NO SALARY DATA</v>
      </c>
      <c r="K872" s="7" t="s">
        <v>261</v>
      </c>
      <c r="L872" s="7" t="s">
        <v>321</v>
      </c>
      <c r="M872" s="7" t="s">
        <v>263</v>
      </c>
      <c r="N872" s="7" t="s">
        <v>260</v>
      </c>
      <c r="O872" s="7"/>
      <c r="P872" s="35"/>
      <c r="Q872" s="7"/>
    </row>
    <row r="873">
      <c r="A873" s="7">
        <v>868.0</v>
      </c>
      <c r="B873" s="7" t="s">
        <v>265</v>
      </c>
      <c r="C873" s="7" t="str">
        <f>IFERROR(__xludf.DUMMYFUNCTION("GOOGLETRANSLATE($B873, $A$2, $B$2)"),"More than 30 days ago")</f>
        <v>More than 30 days ago</v>
      </c>
      <c r="D873" s="7" t="s">
        <v>1906</v>
      </c>
      <c r="E873" s="7" t="s">
        <v>343</v>
      </c>
      <c r="F873" s="7" t="s">
        <v>1907</v>
      </c>
      <c r="G873" s="7" t="s">
        <v>260</v>
      </c>
      <c r="H873" s="7" t="s">
        <v>261</v>
      </c>
      <c r="I873" s="7" t="s">
        <v>261</v>
      </c>
      <c r="J873" s="7" t="str">
        <f>IFERROR(__xludf.DUMMYFUNCTION("GOOGLETRANSLATE($I873, ""de"", ""en"")"),"NO SALARY DATA")</f>
        <v>NO SALARY DATA</v>
      </c>
      <c r="K873" s="7" t="s">
        <v>261</v>
      </c>
      <c r="L873" s="7" t="s">
        <v>527</v>
      </c>
      <c r="M873" s="7" t="s">
        <v>263</v>
      </c>
      <c r="N873" s="7" t="s">
        <v>336</v>
      </c>
      <c r="O873" s="7"/>
      <c r="P873" s="35"/>
      <c r="Q873" s="7"/>
    </row>
    <row r="874">
      <c r="A874" s="7">
        <v>869.0</v>
      </c>
      <c r="B874" s="7" t="s">
        <v>302</v>
      </c>
      <c r="C874" s="7" t="str">
        <f>IFERROR(__xludf.DUMMYFUNCTION("GOOGLETRANSLATE($B874, $A$2, $B$2)"),"today")</f>
        <v>today</v>
      </c>
      <c r="D874" s="7" t="s">
        <v>1908</v>
      </c>
      <c r="E874" s="7" t="s">
        <v>1909</v>
      </c>
      <c r="F874" s="7" t="s">
        <v>1910</v>
      </c>
      <c r="G874" s="7" t="s">
        <v>260</v>
      </c>
      <c r="H874" s="7" t="s">
        <v>261</v>
      </c>
      <c r="I874" s="7" t="s">
        <v>261</v>
      </c>
      <c r="J874" s="7" t="str">
        <f>IFERROR(__xludf.DUMMYFUNCTION("GOOGLETRANSLATE($I874, ""de"", ""en"")"),"NO SALARY DATA")</f>
        <v>NO SALARY DATA</v>
      </c>
      <c r="K874" s="7" t="s">
        <v>261</v>
      </c>
      <c r="L874" s="7"/>
      <c r="M874" s="7" t="s">
        <v>263</v>
      </c>
      <c r="N874" s="7" t="s">
        <v>336</v>
      </c>
      <c r="O874" s="7"/>
      <c r="P874" s="35"/>
      <c r="Q874" s="7"/>
    </row>
    <row r="875">
      <c r="A875" s="7">
        <v>870.0</v>
      </c>
      <c r="B875" s="7" t="s">
        <v>265</v>
      </c>
      <c r="C875" s="7" t="str">
        <f>IFERROR(__xludf.DUMMYFUNCTION("GOOGLETRANSLATE($B875, $A$2, $B$2)"),"More than 30 days ago")</f>
        <v>More than 30 days ago</v>
      </c>
      <c r="D875" s="7" t="s">
        <v>1911</v>
      </c>
      <c r="E875" s="7" t="s">
        <v>271</v>
      </c>
      <c r="F875" s="7" t="s">
        <v>1912</v>
      </c>
      <c r="G875" s="7" t="s">
        <v>260</v>
      </c>
      <c r="H875" s="7" t="s">
        <v>261</v>
      </c>
      <c r="I875" s="7" t="s">
        <v>261</v>
      </c>
      <c r="J875" s="7" t="str">
        <f>IFERROR(__xludf.DUMMYFUNCTION("GOOGLETRANSLATE($I875, ""de"", ""en"")"),"NO SALARY DATA")</f>
        <v>NO SALARY DATA</v>
      </c>
      <c r="K875" s="7" t="s">
        <v>261</v>
      </c>
      <c r="L875" s="7"/>
      <c r="M875" s="7" t="s">
        <v>263</v>
      </c>
      <c r="N875" s="7" t="s">
        <v>399</v>
      </c>
      <c r="O875" s="7"/>
      <c r="P875" s="35"/>
      <c r="Q875" s="7"/>
    </row>
    <row r="876">
      <c r="A876" s="7">
        <v>871.0</v>
      </c>
      <c r="B876" s="7" t="s">
        <v>705</v>
      </c>
      <c r="C876" s="7" t="str">
        <f>IFERROR(__xludf.DUMMYFUNCTION("GOOGLETRANSLATE($B876, $A$2, $B$2)"),"9 days ago")</f>
        <v>9 days ago</v>
      </c>
      <c r="D876" s="7" t="s">
        <v>1913</v>
      </c>
      <c r="E876" s="7" t="s">
        <v>1914</v>
      </c>
      <c r="F876" s="7" t="s">
        <v>1846</v>
      </c>
      <c r="G876" s="7" t="s">
        <v>260</v>
      </c>
      <c r="H876" s="7" t="s">
        <v>261</v>
      </c>
      <c r="I876" s="7" t="s">
        <v>261</v>
      </c>
      <c r="J876" s="7" t="str">
        <f>IFERROR(__xludf.DUMMYFUNCTION("GOOGLETRANSLATE($I876, ""de"", ""en"")"),"NO SALARY DATA")</f>
        <v>NO SALARY DATA</v>
      </c>
      <c r="K876" s="7" t="s">
        <v>261</v>
      </c>
      <c r="L876" s="7" t="s">
        <v>282</v>
      </c>
      <c r="M876" s="7" t="s">
        <v>263</v>
      </c>
      <c r="N876" s="7" t="s">
        <v>331</v>
      </c>
      <c r="O876" s="7"/>
      <c r="P876" s="37"/>
      <c r="Q876" s="7"/>
    </row>
    <row r="877">
      <c r="A877" s="7">
        <v>872.0</v>
      </c>
      <c r="B877" s="7" t="s">
        <v>256</v>
      </c>
      <c r="C877" s="7" t="str">
        <f>IFERROR(__xludf.DUMMYFUNCTION("GOOGLETRANSLATE($B877, $A$2, $B$2)"),"7 days ago")</f>
        <v>7 days ago</v>
      </c>
      <c r="D877" s="7" t="s">
        <v>283</v>
      </c>
      <c r="E877" s="7" t="s">
        <v>271</v>
      </c>
      <c r="F877" s="7" t="s">
        <v>1915</v>
      </c>
      <c r="G877" s="7" t="s">
        <v>1889</v>
      </c>
      <c r="H877" s="7">
        <v>75000.0</v>
      </c>
      <c r="I877" s="7" t="s">
        <v>384</v>
      </c>
      <c r="J877" s="7" t="str">
        <f>IFERROR(__xludf.DUMMYFUNCTION("GOOGLETRANSLATE($I877, ""de"", ""en"")"),"year")</f>
        <v>year</v>
      </c>
      <c r="K877" s="7">
        <v>75000.0</v>
      </c>
      <c r="L877" s="7" t="s">
        <v>566</v>
      </c>
      <c r="M877" s="7" t="s">
        <v>452</v>
      </c>
      <c r="N877" s="7" t="s">
        <v>260</v>
      </c>
      <c r="O877" s="7"/>
      <c r="P877" s="35"/>
      <c r="Q877" s="7"/>
    </row>
    <row r="878">
      <c r="A878" s="7">
        <v>873.0</v>
      </c>
      <c r="B878" s="7" t="s">
        <v>637</v>
      </c>
      <c r="C878" s="7" t="str">
        <f>IFERROR(__xludf.DUMMYFUNCTION("GOOGLETRANSLATE($B878, $A$2, $B$2)"),"17 days ago")</f>
        <v>17 days ago</v>
      </c>
      <c r="D878" s="7" t="s">
        <v>1916</v>
      </c>
      <c r="E878" s="7" t="s">
        <v>1084</v>
      </c>
      <c r="F878" s="7" t="s">
        <v>1874</v>
      </c>
      <c r="G878" s="7" t="s">
        <v>260</v>
      </c>
      <c r="H878" s="7" t="s">
        <v>261</v>
      </c>
      <c r="I878" s="7" t="s">
        <v>261</v>
      </c>
      <c r="J878" s="7" t="str">
        <f>IFERROR(__xludf.DUMMYFUNCTION("GOOGLETRANSLATE($I878, ""de"", ""en"")"),"NO SALARY DATA")</f>
        <v>NO SALARY DATA</v>
      </c>
      <c r="K878" s="7" t="s">
        <v>261</v>
      </c>
      <c r="L878" s="7"/>
      <c r="M878" s="7" t="s">
        <v>263</v>
      </c>
      <c r="N878" s="7" t="s">
        <v>399</v>
      </c>
      <c r="O878" s="7"/>
      <c r="P878" s="35"/>
      <c r="Q878" s="7"/>
    </row>
    <row r="879">
      <c r="A879" s="7">
        <v>874.0</v>
      </c>
      <c r="B879" s="7" t="s">
        <v>265</v>
      </c>
      <c r="C879" s="7" t="str">
        <f>IFERROR(__xludf.DUMMYFUNCTION("GOOGLETRANSLATE($B879, $A$2, $B$2)"),"More than 30 days ago")</f>
        <v>More than 30 days ago</v>
      </c>
      <c r="D879" s="7" t="s">
        <v>1917</v>
      </c>
      <c r="E879" s="7" t="s">
        <v>480</v>
      </c>
      <c r="F879" s="7" t="s">
        <v>1882</v>
      </c>
      <c r="G879" s="7" t="s">
        <v>260</v>
      </c>
      <c r="H879" s="7" t="s">
        <v>261</v>
      </c>
      <c r="I879" s="7" t="s">
        <v>261</v>
      </c>
      <c r="J879" s="7" t="str">
        <f>IFERROR(__xludf.DUMMYFUNCTION("GOOGLETRANSLATE($I879, ""de"", ""en"")"),"NO SALARY DATA")</f>
        <v>NO SALARY DATA</v>
      </c>
      <c r="K879" s="7" t="s">
        <v>261</v>
      </c>
      <c r="L879" s="7" t="s">
        <v>790</v>
      </c>
      <c r="M879" s="7" t="s">
        <v>263</v>
      </c>
      <c r="N879" s="7" t="s">
        <v>296</v>
      </c>
      <c r="O879" s="7"/>
      <c r="P879" s="35"/>
      <c r="Q879" s="7"/>
    </row>
    <row r="880">
      <c r="A880" s="7">
        <v>875.0</v>
      </c>
      <c r="B880" s="7" t="s">
        <v>559</v>
      </c>
      <c r="C880" s="7" t="str">
        <f>IFERROR(__xludf.DUMMYFUNCTION("GOOGLETRANSLATE($B880, $A$2, $B$2)"),"18 days ago")</f>
        <v>18 days ago</v>
      </c>
      <c r="D880" s="7" t="s">
        <v>1427</v>
      </c>
      <c r="E880" s="7" t="s">
        <v>352</v>
      </c>
      <c r="F880" s="7" t="s">
        <v>1902</v>
      </c>
      <c r="G880" s="7" t="s">
        <v>260</v>
      </c>
      <c r="H880" s="7" t="s">
        <v>261</v>
      </c>
      <c r="I880" s="7" t="s">
        <v>261</v>
      </c>
      <c r="J880" s="7" t="str">
        <f>IFERROR(__xludf.DUMMYFUNCTION("GOOGLETRANSLATE($I880, ""de"", ""en"")"),"NO SALARY DATA")</f>
        <v>NO SALARY DATA</v>
      </c>
      <c r="K880" s="7" t="s">
        <v>261</v>
      </c>
      <c r="L880" s="7" t="s">
        <v>312</v>
      </c>
      <c r="M880" s="7" t="s">
        <v>263</v>
      </c>
      <c r="N880" s="7" t="s">
        <v>507</v>
      </c>
      <c r="O880" s="7"/>
      <c r="P880" s="35"/>
      <c r="Q880" s="7"/>
    </row>
    <row r="881">
      <c r="A881" s="7">
        <v>876.0</v>
      </c>
      <c r="B881" s="7" t="s">
        <v>371</v>
      </c>
      <c r="C881" s="7" t="str">
        <f>IFERROR(__xludf.DUMMYFUNCTION("GOOGLETRANSLATE($B881, $A$2, $B$2)"),"Straight")</f>
        <v>Straight</v>
      </c>
      <c r="D881" s="7" t="s">
        <v>1918</v>
      </c>
      <c r="E881" s="7" t="s">
        <v>348</v>
      </c>
      <c r="F881" s="7" t="s">
        <v>1919</v>
      </c>
      <c r="G881" s="7" t="s">
        <v>260</v>
      </c>
      <c r="H881" s="7" t="s">
        <v>261</v>
      </c>
      <c r="I881" s="7" t="s">
        <v>261</v>
      </c>
      <c r="J881" s="7" t="str">
        <f>IFERROR(__xludf.DUMMYFUNCTION("GOOGLETRANSLATE($I881, ""de"", ""en"")"),"NO SALARY DATA")</f>
        <v>NO SALARY DATA</v>
      </c>
      <c r="K881" s="7" t="s">
        <v>261</v>
      </c>
      <c r="L881" s="7" t="s">
        <v>777</v>
      </c>
      <c r="M881" s="7" t="s">
        <v>263</v>
      </c>
      <c r="N881" s="7" t="s">
        <v>434</v>
      </c>
      <c r="O881" s="7"/>
      <c r="P881" s="35"/>
      <c r="Q881" s="7"/>
    </row>
    <row r="882">
      <c r="A882" s="7">
        <v>877.0</v>
      </c>
      <c r="B882" s="7" t="s">
        <v>621</v>
      </c>
      <c r="C882" s="7" t="str">
        <f>IFERROR(__xludf.DUMMYFUNCTION("GOOGLETRANSLATE($B882, $A$2, $B$2)"),"20 days ago")</f>
        <v>20 days ago</v>
      </c>
      <c r="D882" s="7" t="s">
        <v>1920</v>
      </c>
      <c r="E882" s="7" t="s">
        <v>539</v>
      </c>
      <c r="F882" s="7" t="s">
        <v>1921</v>
      </c>
      <c r="G882" s="7" t="s">
        <v>260</v>
      </c>
      <c r="H882" s="7" t="s">
        <v>261</v>
      </c>
      <c r="I882" s="7" t="s">
        <v>261</v>
      </c>
      <c r="J882" s="7" t="str">
        <f>IFERROR(__xludf.DUMMYFUNCTION("GOOGLETRANSLATE($I882, ""de"", ""en"")"),"NO SALARY DATA")</f>
        <v>NO SALARY DATA</v>
      </c>
      <c r="K882" s="7" t="s">
        <v>261</v>
      </c>
      <c r="L882" s="7" t="s">
        <v>286</v>
      </c>
      <c r="M882" s="7" t="s">
        <v>263</v>
      </c>
      <c r="N882" s="7" t="s">
        <v>491</v>
      </c>
      <c r="O882" s="7"/>
      <c r="P882" s="35"/>
      <c r="Q882" s="7"/>
    </row>
    <row r="883">
      <c r="A883" s="7">
        <v>878.0</v>
      </c>
      <c r="B883" s="7" t="s">
        <v>265</v>
      </c>
      <c r="C883" s="7" t="str">
        <f>IFERROR(__xludf.DUMMYFUNCTION("GOOGLETRANSLATE($B883, $A$2, $B$2)"),"More than 30 days ago")</f>
        <v>More than 30 days ago</v>
      </c>
      <c r="D883" s="7" t="s">
        <v>1895</v>
      </c>
      <c r="E883" s="7" t="s">
        <v>480</v>
      </c>
      <c r="F883" s="7" t="s">
        <v>1882</v>
      </c>
      <c r="G883" s="7" t="s">
        <v>260</v>
      </c>
      <c r="H883" s="7" t="s">
        <v>261</v>
      </c>
      <c r="I883" s="7" t="s">
        <v>261</v>
      </c>
      <c r="J883" s="7" t="str">
        <f>IFERROR(__xludf.DUMMYFUNCTION("GOOGLETRANSLATE($I883, ""de"", ""en"")"),"NO SALARY DATA")</f>
        <v>NO SALARY DATA</v>
      </c>
      <c r="K883" s="7" t="s">
        <v>261</v>
      </c>
      <c r="L883" s="7" t="s">
        <v>286</v>
      </c>
      <c r="M883" s="7" t="s">
        <v>263</v>
      </c>
      <c r="N883" s="7" t="s">
        <v>296</v>
      </c>
      <c r="O883" s="7"/>
      <c r="P883" s="35"/>
      <c r="Q883" s="7"/>
    </row>
    <row r="884">
      <c r="A884" s="7">
        <v>879.0</v>
      </c>
      <c r="B884" s="7" t="s">
        <v>637</v>
      </c>
      <c r="C884" s="7" t="str">
        <f>IFERROR(__xludf.DUMMYFUNCTION("GOOGLETRANSLATE($B884, $A$2, $B$2)"),"17 days ago")</f>
        <v>17 days ago</v>
      </c>
      <c r="D884" s="7" t="s">
        <v>283</v>
      </c>
      <c r="E884" s="7" t="s">
        <v>1922</v>
      </c>
      <c r="F884" s="7" t="s">
        <v>1867</v>
      </c>
      <c r="G884" s="7" t="s">
        <v>260</v>
      </c>
      <c r="H884" s="7" t="s">
        <v>261</v>
      </c>
      <c r="I884" s="7" t="s">
        <v>261</v>
      </c>
      <c r="J884" s="7" t="str">
        <f>IFERROR(__xludf.DUMMYFUNCTION("GOOGLETRANSLATE($I884, ""de"", ""en"")"),"NO SALARY DATA")</f>
        <v>NO SALARY DATA</v>
      </c>
      <c r="K884" s="7" t="s">
        <v>261</v>
      </c>
      <c r="L884" s="7" t="s">
        <v>312</v>
      </c>
      <c r="M884" s="7" t="s">
        <v>263</v>
      </c>
      <c r="N884" s="7" t="s">
        <v>323</v>
      </c>
      <c r="O884" s="7"/>
      <c r="P884" s="37"/>
      <c r="Q884" s="7"/>
    </row>
    <row r="885">
      <c r="A885" s="7">
        <v>880.0</v>
      </c>
      <c r="B885" s="7" t="s">
        <v>269</v>
      </c>
      <c r="C885" s="7" t="str">
        <f>IFERROR(__xludf.DUMMYFUNCTION("GOOGLETRANSLATE($B885, $A$2, $B$2)"),"5 days ago")</f>
        <v>5 days ago</v>
      </c>
      <c r="D885" s="7" t="s">
        <v>1923</v>
      </c>
      <c r="E885" s="7" t="s">
        <v>258</v>
      </c>
      <c r="F885" s="7" t="s">
        <v>1924</v>
      </c>
      <c r="G885" s="7" t="s">
        <v>1925</v>
      </c>
      <c r="H885" s="7">
        <v>70000.0</v>
      </c>
      <c r="I885" s="7" t="s">
        <v>384</v>
      </c>
      <c r="J885" s="7" t="str">
        <f>IFERROR(__xludf.DUMMYFUNCTION("GOOGLETRANSLATE($I885, ""de"", ""en"")"),"year")</f>
        <v>year</v>
      </c>
      <c r="K885" s="7">
        <v>70000.0</v>
      </c>
      <c r="L885" s="7" t="s">
        <v>490</v>
      </c>
      <c r="M885" s="7" t="s">
        <v>263</v>
      </c>
      <c r="N885" s="7" t="s">
        <v>260</v>
      </c>
      <c r="O885" s="7"/>
      <c r="P885" s="35"/>
      <c r="Q885" s="7"/>
    </row>
    <row r="886">
      <c r="A886" s="7">
        <v>881.0</v>
      </c>
      <c r="B886" s="7" t="s">
        <v>265</v>
      </c>
      <c r="C886" s="7" t="str">
        <f>IFERROR(__xludf.DUMMYFUNCTION("GOOGLETRANSLATE($B886, $A$2, $B$2)"),"More than 30 days ago")</f>
        <v>More than 30 days ago</v>
      </c>
      <c r="D886" s="7" t="s">
        <v>1926</v>
      </c>
      <c r="E886" s="7" t="s">
        <v>258</v>
      </c>
      <c r="F886" s="7" t="s">
        <v>334</v>
      </c>
      <c r="G886" s="7" t="s">
        <v>260</v>
      </c>
      <c r="H886" s="7" t="s">
        <v>261</v>
      </c>
      <c r="I886" s="7" t="s">
        <v>261</v>
      </c>
      <c r="J886" s="7" t="str">
        <f>IFERROR(__xludf.DUMMYFUNCTION("GOOGLETRANSLATE($I886, ""de"", ""en"")"),"NO SALARY DATA")</f>
        <v>NO SALARY DATA</v>
      </c>
      <c r="K886" s="7" t="s">
        <v>261</v>
      </c>
      <c r="L886" s="7" t="s">
        <v>1637</v>
      </c>
      <c r="M886" s="7" t="s">
        <v>263</v>
      </c>
      <c r="N886" s="7" t="s">
        <v>336</v>
      </c>
      <c r="O886" s="7"/>
      <c r="P886" s="35"/>
      <c r="Q886" s="7"/>
    </row>
    <row r="887">
      <c r="A887" s="7">
        <v>882.0</v>
      </c>
      <c r="B887" s="7" t="s">
        <v>508</v>
      </c>
      <c r="C887" s="7" t="str">
        <f>IFERROR(__xludf.DUMMYFUNCTION("GOOGLETRANSLATE($B887, $A$2, $B$2)"),"24 days ago")</f>
        <v>24 days ago</v>
      </c>
      <c r="D887" s="7" t="s">
        <v>1927</v>
      </c>
      <c r="E887" s="7" t="s">
        <v>348</v>
      </c>
      <c r="F887" s="7" t="s">
        <v>1846</v>
      </c>
      <c r="G887" s="7" t="s">
        <v>260</v>
      </c>
      <c r="H887" s="7" t="s">
        <v>261</v>
      </c>
      <c r="I887" s="7" t="s">
        <v>261</v>
      </c>
      <c r="J887" s="7" t="str">
        <f>IFERROR(__xludf.DUMMYFUNCTION("GOOGLETRANSLATE($I887, ""de"", ""en"")"),"NO SALARY DATA")</f>
        <v>NO SALARY DATA</v>
      </c>
      <c r="K887" s="7" t="s">
        <v>261</v>
      </c>
      <c r="L887" s="7" t="s">
        <v>908</v>
      </c>
      <c r="M887" s="7" t="s">
        <v>263</v>
      </c>
      <c r="N887" s="7" t="s">
        <v>331</v>
      </c>
      <c r="O887" s="7"/>
      <c r="P887" s="35"/>
      <c r="Q887" s="7"/>
    </row>
    <row r="888">
      <c r="A888" s="7">
        <v>883.0</v>
      </c>
      <c r="B888" s="7" t="s">
        <v>265</v>
      </c>
      <c r="C888" s="7" t="str">
        <f>IFERROR(__xludf.DUMMYFUNCTION("GOOGLETRANSLATE($B888, $A$2, $B$2)"),"More than 30 days ago")</f>
        <v>More than 30 days ago</v>
      </c>
      <c r="D888" s="7" t="s">
        <v>1928</v>
      </c>
      <c r="E888" s="7" t="s">
        <v>439</v>
      </c>
      <c r="F888" s="7" t="s">
        <v>1929</v>
      </c>
      <c r="G888" s="7" t="s">
        <v>260</v>
      </c>
      <c r="H888" s="7" t="s">
        <v>261</v>
      </c>
      <c r="I888" s="7" t="s">
        <v>261</v>
      </c>
      <c r="J888" s="7" t="str">
        <f>IFERROR(__xludf.DUMMYFUNCTION("GOOGLETRANSLATE($I888, ""de"", ""en"")"),"NO SALARY DATA")</f>
        <v>NO SALARY DATA</v>
      </c>
      <c r="K888" s="7" t="s">
        <v>261</v>
      </c>
      <c r="L888" s="7" t="s">
        <v>423</v>
      </c>
      <c r="M888" s="7" t="s">
        <v>263</v>
      </c>
      <c r="N888" s="7" t="s">
        <v>725</v>
      </c>
      <c r="O888" s="7"/>
      <c r="P888" s="35"/>
      <c r="Q888" s="7"/>
    </row>
    <row r="889">
      <c r="A889" s="7">
        <v>884.0</v>
      </c>
      <c r="B889" s="7" t="s">
        <v>265</v>
      </c>
      <c r="C889" s="7" t="str">
        <f>IFERROR(__xludf.DUMMYFUNCTION("GOOGLETRANSLATE($B889, $A$2, $B$2)"),"More than 30 days ago")</f>
        <v>More than 30 days ago</v>
      </c>
      <c r="D889" s="7" t="s">
        <v>706</v>
      </c>
      <c r="E889" s="7" t="s">
        <v>583</v>
      </c>
      <c r="F889" s="7" t="s">
        <v>1882</v>
      </c>
      <c r="G889" s="7" t="s">
        <v>260</v>
      </c>
      <c r="H889" s="7" t="s">
        <v>261</v>
      </c>
      <c r="I889" s="7" t="s">
        <v>261</v>
      </c>
      <c r="J889" s="7" t="str">
        <f>IFERROR(__xludf.DUMMYFUNCTION("GOOGLETRANSLATE($I889, ""de"", ""en"")"),"NO SALARY DATA")</f>
        <v>NO SALARY DATA</v>
      </c>
      <c r="K889" s="7" t="s">
        <v>261</v>
      </c>
      <c r="L889" s="7" t="s">
        <v>585</v>
      </c>
      <c r="M889" s="7" t="s">
        <v>263</v>
      </c>
      <c r="N889" s="7" t="s">
        <v>296</v>
      </c>
      <c r="O889" s="7"/>
      <c r="P889" s="35"/>
      <c r="Q889" s="7"/>
    </row>
    <row r="890">
      <c r="A890" s="7">
        <v>885.0</v>
      </c>
      <c r="B890" s="7" t="s">
        <v>265</v>
      </c>
      <c r="C890" s="7" t="str">
        <f>IFERROR(__xludf.DUMMYFUNCTION("GOOGLETRANSLATE($B890, $A$2, $B$2)"),"More than 30 days ago")</f>
        <v>More than 30 days ago</v>
      </c>
      <c r="D890" s="7" t="s">
        <v>1930</v>
      </c>
      <c r="E890" s="7" t="s">
        <v>1931</v>
      </c>
      <c r="F890" s="7" t="s">
        <v>1882</v>
      </c>
      <c r="G890" s="7" t="s">
        <v>260</v>
      </c>
      <c r="H890" s="7" t="s">
        <v>261</v>
      </c>
      <c r="I890" s="7" t="s">
        <v>261</v>
      </c>
      <c r="J890" s="7" t="str">
        <f>IFERROR(__xludf.DUMMYFUNCTION("GOOGLETRANSLATE($I890, ""de"", ""en"")"),"NO SALARY DATA")</f>
        <v>NO SALARY DATA</v>
      </c>
      <c r="K890" s="7" t="s">
        <v>261</v>
      </c>
      <c r="L890" s="7"/>
      <c r="M890" s="7" t="s">
        <v>263</v>
      </c>
      <c r="N890" s="7" t="s">
        <v>296</v>
      </c>
      <c r="O890" s="7"/>
      <c r="P890" s="35"/>
      <c r="Q890" s="7"/>
    </row>
    <row r="891">
      <c r="A891" s="7">
        <v>886.0</v>
      </c>
      <c r="B891" s="7" t="s">
        <v>265</v>
      </c>
      <c r="C891" s="7" t="str">
        <f>IFERROR(__xludf.DUMMYFUNCTION("GOOGLETRANSLATE($B891, $A$2, $B$2)"),"More than 30 days ago")</f>
        <v>More than 30 days ago</v>
      </c>
      <c r="D891" s="7" t="s">
        <v>706</v>
      </c>
      <c r="E891" s="7" t="s">
        <v>1100</v>
      </c>
      <c r="F891" s="7" t="s">
        <v>1902</v>
      </c>
      <c r="G891" s="7" t="s">
        <v>260</v>
      </c>
      <c r="H891" s="7" t="s">
        <v>261</v>
      </c>
      <c r="I891" s="7" t="s">
        <v>261</v>
      </c>
      <c r="J891" s="7" t="str">
        <f>IFERROR(__xludf.DUMMYFUNCTION("GOOGLETRANSLATE($I891, ""de"", ""en"")"),"NO SALARY DATA")</f>
        <v>NO SALARY DATA</v>
      </c>
      <c r="K891" s="7" t="s">
        <v>261</v>
      </c>
      <c r="L891" s="7" t="s">
        <v>327</v>
      </c>
      <c r="M891" s="7" t="s">
        <v>263</v>
      </c>
      <c r="N891" s="7" t="s">
        <v>507</v>
      </c>
      <c r="O891" s="7"/>
      <c r="P891" s="35"/>
      <c r="Q891" s="7"/>
    </row>
    <row r="892">
      <c r="A892" s="7">
        <v>887.0</v>
      </c>
      <c r="B892" s="7" t="s">
        <v>265</v>
      </c>
      <c r="C892" s="7" t="str">
        <f>IFERROR(__xludf.DUMMYFUNCTION("GOOGLETRANSLATE($B892, $A$2, $B$2)"),"More than 30 days ago")</f>
        <v>More than 30 days ago</v>
      </c>
      <c r="D892" s="7" t="s">
        <v>1427</v>
      </c>
      <c r="E892" s="7" t="s">
        <v>408</v>
      </c>
      <c r="F892" s="7" t="s">
        <v>1882</v>
      </c>
      <c r="G892" s="7" t="s">
        <v>260</v>
      </c>
      <c r="H892" s="7" t="s">
        <v>261</v>
      </c>
      <c r="I892" s="7" t="s">
        <v>261</v>
      </c>
      <c r="J892" s="7" t="str">
        <f>IFERROR(__xludf.DUMMYFUNCTION("GOOGLETRANSLATE($I892, ""de"", ""en"")"),"NO SALARY DATA")</f>
        <v>NO SALARY DATA</v>
      </c>
      <c r="K892" s="7" t="s">
        <v>261</v>
      </c>
      <c r="L892" s="7" t="s">
        <v>318</v>
      </c>
      <c r="M892" s="7" t="s">
        <v>263</v>
      </c>
      <c r="N892" s="7" t="s">
        <v>296</v>
      </c>
      <c r="O892" s="7"/>
      <c r="P892" s="35"/>
      <c r="Q892" s="7"/>
    </row>
    <row r="893">
      <c r="A893" s="7">
        <v>888.0</v>
      </c>
      <c r="B893" s="7" t="s">
        <v>469</v>
      </c>
      <c r="C893" s="7" t="str">
        <f>IFERROR(__xludf.DUMMYFUNCTION("GOOGLETRANSLATE($B893, $A$2, $B$2)"),"19 days ago")</f>
        <v>19 days ago</v>
      </c>
      <c r="D893" s="7" t="s">
        <v>1932</v>
      </c>
      <c r="E893" s="7" t="s">
        <v>669</v>
      </c>
      <c r="F893" s="7" t="s">
        <v>1867</v>
      </c>
      <c r="G893" s="7" t="s">
        <v>260</v>
      </c>
      <c r="H893" s="7" t="s">
        <v>261</v>
      </c>
      <c r="I893" s="7" t="s">
        <v>261</v>
      </c>
      <c r="J893" s="7" t="str">
        <f>IFERROR(__xludf.DUMMYFUNCTION("GOOGLETRANSLATE($I893, ""de"", ""en"")"),"NO SALARY DATA")</f>
        <v>NO SALARY DATA</v>
      </c>
      <c r="K893" s="7" t="s">
        <v>261</v>
      </c>
      <c r="L893" s="7"/>
      <c r="M893" s="7" t="s">
        <v>263</v>
      </c>
      <c r="N893" s="7" t="s">
        <v>323</v>
      </c>
      <c r="O893" s="7"/>
      <c r="P893" s="35"/>
      <c r="Q893" s="7"/>
    </row>
    <row r="894">
      <c r="A894" s="7">
        <v>889.0</v>
      </c>
      <c r="B894" s="7" t="s">
        <v>265</v>
      </c>
      <c r="C894" s="7" t="str">
        <f>IFERROR(__xludf.DUMMYFUNCTION("GOOGLETRANSLATE($B894, $A$2, $B$2)"),"More than 30 days ago")</f>
        <v>More than 30 days ago</v>
      </c>
      <c r="D894" s="7" t="s">
        <v>1933</v>
      </c>
      <c r="E894" s="7" t="s">
        <v>348</v>
      </c>
      <c r="F894" s="7" t="s">
        <v>1902</v>
      </c>
      <c r="G894" s="7" t="s">
        <v>260</v>
      </c>
      <c r="H894" s="7" t="s">
        <v>261</v>
      </c>
      <c r="I894" s="7" t="s">
        <v>261</v>
      </c>
      <c r="J894" s="7" t="str">
        <f>IFERROR(__xludf.DUMMYFUNCTION("GOOGLETRANSLATE($I894, ""de"", ""en"")"),"NO SALARY DATA")</f>
        <v>NO SALARY DATA</v>
      </c>
      <c r="K894" s="7" t="s">
        <v>261</v>
      </c>
      <c r="L894" s="7" t="s">
        <v>312</v>
      </c>
      <c r="M894" s="7" t="s">
        <v>263</v>
      </c>
      <c r="N894" s="7" t="s">
        <v>507</v>
      </c>
      <c r="O894" s="7"/>
      <c r="P894" s="35"/>
      <c r="Q894" s="7"/>
    </row>
    <row r="895">
      <c r="A895" s="7">
        <v>890.0</v>
      </c>
      <c r="B895" s="7" t="s">
        <v>332</v>
      </c>
      <c r="C895" s="7" t="str">
        <f>IFERROR(__xludf.DUMMYFUNCTION("GOOGLETRANSLATE($B895, $A$2, $B$2)"),"4 days ago")</f>
        <v>4 days ago</v>
      </c>
      <c r="D895" s="7" t="s">
        <v>741</v>
      </c>
      <c r="E895" s="7" t="s">
        <v>258</v>
      </c>
      <c r="F895" s="7" t="s">
        <v>853</v>
      </c>
      <c r="G895" s="7" t="s">
        <v>260</v>
      </c>
      <c r="H895" s="7" t="s">
        <v>261</v>
      </c>
      <c r="I895" s="7" t="s">
        <v>261</v>
      </c>
      <c r="J895" s="7" t="str">
        <f>IFERROR(__xludf.DUMMYFUNCTION("GOOGLETRANSLATE($I895, ""de"", ""en"")"),"NO SALARY DATA")</f>
        <v>NO SALARY DATA</v>
      </c>
      <c r="K895" s="7" t="s">
        <v>261</v>
      </c>
      <c r="L895" s="7" t="s">
        <v>423</v>
      </c>
      <c r="M895" s="7" t="s">
        <v>263</v>
      </c>
      <c r="N895" s="7" t="s">
        <v>434</v>
      </c>
      <c r="O895" s="7"/>
      <c r="P895" s="35"/>
      <c r="Q895" s="7"/>
    </row>
    <row r="896">
      <c r="A896" s="7">
        <v>891.0</v>
      </c>
      <c r="B896" s="7" t="s">
        <v>346</v>
      </c>
      <c r="C896" s="7" t="str">
        <f>IFERROR(__xludf.DUMMYFUNCTION("GOOGLETRANSLATE($B896, $A$2, $B$2)"),"12 days ago")</f>
        <v>12 days ago</v>
      </c>
      <c r="D896" s="7" t="s">
        <v>1934</v>
      </c>
      <c r="E896" s="7" t="s">
        <v>271</v>
      </c>
      <c r="F896" s="7" t="s">
        <v>1935</v>
      </c>
      <c r="G896" s="7" t="s">
        <v>260</v>
      </c>
      <c r="H896" s="7" t="s">
        <v>261</v>
      </c>
      <c r="I896" s="7" t="s">
        <v>261</v>
      </c>
      <c r="J896" s="7" t="str">
        <f>IFERROR(__xludf.DUMMYFUNCTION("GOOGLETRANSLATE($I896, ""de"", ""en"")"),"NO SALARY DATA")</f>
        <v>NO SALARY DATA</v>
      </c>
      <c r="K896" s="7" t="s">
        <v>261</v>
      </c>
      <c r="L896" s="7" t="s">
        <v>777</v>
      </c>
      <c r="M896" s="7" t="s">
        <v>263</v>
      </c>
      <c r="N896" s="7" t="s">
        <v>331</v>
      </c>
      <c r="O896" s="7"/>
      <c r="P896" s="35"/>
      <c r="Q896" s="7"/>
    </row>
    <row r="897">
      <c r="A897" s="7">
        <v>892.0</v>
      </c>
      <c r="B897" s="7" t="s">
        <v>375</v>
      </c>
      <c r="C897" s="7" t="str">
        <f>IFERROR(__xludf.DUMMYFUNCTION("GOOGLETRANSLATE($B897, $A$2, $B$2)"),"6 days ago")</f>
        <v>6 days ago</v>
      </c>
      <c r="D897" s="7" t="s">
        <v>1936</v>
      </c>
      <c r="E897" s="7" t="s">
        <v>629</v>
      </c>
      <c r="F897" s="7" t="s">
        <v>1937</v>
      </c>
      <c r="G897" s="7" t="s">
        <v>260</v>
      </c>
      <c r="H897" s="7" t="s">
        <v>261</v>
      </c>
      <c r="I897" s="7" t="s">
        <v>261</v>
      </c>
      <c r="J897" s="7" t="str">
        <f>IFERROR(__xludf.DUMMYFUNCTION("GOOGLETRANSLATE($I897, ""de"", ""en"")"),"NO SALARY DATA")</f>
        <v>NO SALARY DATA</v>
      </c>
      <c r="K897" s="7" t="s">
        <v>261</v>
      </c>
      <c r="L897" s="7"/>
      <c r="M897" s="7" t="s">
        <v>263</v>
      </c>
      <c r="N897" s="7" t="s">
        <v>611</v>
      </c>
      <c r="O897" s="7"/>
      <c r="P897" s="35"/>
      <c r="Q897" s="7"/>
    </row>
    <row r="898">
      <c r="A898" s="7">
        <v>893.0</v>
      </c>
      <c r="B898" s="7" t="s">
        <v>265</v>
      </c>
      <c r="C898" s="7" t="str">
        <f>IFERROR(__xludf.DUMMYFUNCTION("GOOGLETRANSLATE($B898, $A$2, $B$2)"),"More than 30 days ago")</f>
        <v>More than 30 days ago</v>
      </c>
      <c r="D898" s="7" t="s">
        <v>1938</v>
      </c>
      <c r="E898" s="7" t="s">
        <v>1939</v>
      </c>
      <c r="F898" s="7" t="s">
        <v>1902</v>
      </c>
      <c r="G898" s="7" t="s">
        <v>260</v>
      </c>
      <c r="H898" s="7" t="s">
        <v>261</v>
      </c>
      <c r="I898" s="7" t="s">
        <v>261</v>
      </c>
      <c r="J898" s="7" t="str">
        <f>IFERROR(__xludf.DUMMYFUNCTION("GOOGLETRANSLATE($I898, ""de"", ""en"")"),"NO SALARY DATA")</f>
        <v>NO SALARY DATA</v>
      </c>
      <c r="K898" s="7" t="s">
        <v>261</v>
      </c>
      <c r="L898" s="7" t="s">
        <v>1940</v>
      </c>
      <c r="M898" s="7" t="s">
        <v>263</v>
      </c>
      <c r="N898" s="7" t="s">
        <v>507</v>
      </c>
      <c r="O898" s="7"/>
      <c r="P898" s="37"/>
      <c r="Q898" s="7"/>
    </row>
    <row r="899">
      <c r="A899" s="7">
        <v>894.0</v>
      </c>
      <c r="B899" s="7" t="s">
        <v>341</v>
      </c>
      <c r="C899" s="7" t="str">
        <f>IFERROR(__xludf.DUMMYFUNCTION("GOOGLETRANSLATE($B899, $A$2, $B$2)"),"before 14 days")</f>
        <v>before 14 days</v>
      </c>
      <c r="D899" s="7" t="s">
        <v>1941</v>
      </c>
      <c r="E899" s="7" t="s">
        <v>1462</v>
      </c>
      <c r="F899" s="7" t="s">
        <v>1942</v>
      </c>
      <c r="G899" s="7" t="s">
        <v>260</v>
      </c>
      <c r="H899" s="7" t="s">
        <v>261</v>
      </c>
      <c r="I899" s="7" t="s">
        <v>261</v>
      </c>
      <c r="J899" s="7" t="str">
        <f>IFERROR(__xludf.DUMMYFUNCTION("GOOGLETRANSLATE($I899, ""de"", ""en"")"),"NO SALARY DATA")</f>
        <v>NO SALARY DATA</v>
      </c>
      <c r="K899" s="7" t="s">
        <v>261</v>
      </c>
      <c r="L899" s="7" t="s">
        <v>649</v>
      </c>
      <c r="M899" s="7" t="s">
        <v>263</v>
      </c>
      <c r="N899" s="7" t="s">
        <v>260</v>
      </c>
      <c r="O899" s="7"/>
      <c r="P899" s="37"/>
      <c r="Q899" s="7"/>
    </row>
    <row r="900">
      <c r="A900" s="7">
        <v>895.0</v>
      </c>
      <c r="B900" s="7" t="s">
        <v>705</v>
      </c>
      <c r="C900" s="7" t="str">
        <f>IFERROR(__xludf.DUMMYFUNCTION("GOOGLETRANSLATE($B900, $A$2, $B$2)"),"9 days ago")</f>
        <v>9 days ago</v>
      </c>
      <c r="D900" s="7" t="s">
        <v>1943</v>
      </c>
      <c r="E900" s="7" t="s">
        <v>1944</v>
      </c>
      <c r="F900" s="7" t="s">
        <v>1945</v>
      </c>
      <c r="G900" s="7" t="s">
        <v>260</v>
      </c>
      <c r="H900" s="7" t="s">
        <v>261</v>
      </c>
      <c r="I900" s="7" t="s">
        <v>261</v>
      </c>
      <c r="J900" s="7" t="str">
        <f>IFERROR(__xludf.DUMMYFUNCTION("GOOGLETRANSLATE($I900, ""de"", ""en"")"),"NO SALARY DATA")</f>
        <v>NO SALARY DATA</v>
      </c>
      <c r="K900" s="7" t="s">
        <v>261</v>
      </c>
      <c r="L900" s="7" t="s">
        <v>777</v>
      </c>
      <c r="M900" s="7" t="s">
        <v>263</v>
      </c>
      <c r="N900" s="7" t="s">
        <v>260</v>
      </c>
      <c r="O900" s="7"/>
      <c r="P900" s="35"/>
      <c r="Q900" s="7"/>
    </row>
    <row r="901">
      <c r="A901" s="7">
        <v>896.0</v>
      </c>
      <c r="B901" s="7" t="s">
        <v>265</v>
      </c>
      <c r="C901" s="7" t="str">
        <f>IFERROR(__xludf.DUMMYFUNCTION("GOOGLETRANSLATE($B901, $A$2, $B$2)"),"More than 30 days ago")</f>
        <v>More than 30 days ago</v>
      </c>
      <c r="D901" s="7" t="s">
        <v>1946</v>
      </c>
      <c r="E901" s="7" t="s">
        <v>258</v>
      </c>
      <c r="F901" s="7" t="s">
        <v>853</v>
      </c>
      <c r="G901" s="7" t="s">
        <v>260</v>
      </c>
      <c r="H901" s="7" t="s">
        <v>261</v>
      </c>
      <c r="I901" s="7" t="s">
        <v>261</v>
      </c>
      <c r="J901" s="7" t="str">
        <f>IFERROR(__xludf.DUMMYFUNCTION("GOOGLETRANSLATE($I901, ""de"", ""en"")"),"NO SALARY DATA")</f>
        <v>NO SALARY DATA</v>
      </c>
      <c r="K901" s="7" t="s">
        <v>261</v>
      </c>
      <c r="L901" s="7" t="s">
        <v>374</v>
      </c>
      <c r="M901" s="7" t="s">
        <v>673</v>
      </c>
      <c r="N901" s="7" t="s">
        <v>434</v>
      </c>
      <c r="O901" s="7"/>
      <c r="P901" s="35"/>
      <c r="Q901" s="7"/>
    </row>
    <row r="902">
      <c r="A902" s="7">
        <v>897.0</v>
      </c>
      <c r="B902" s="7" t="s">
        <v>324</v>
      </c>
      <c r="C902" s="7" t="str">
        <f>IFERROR(__xludf.DUMMYFUNCTION("GOOGLETRANSLATE($B902, $A$2, $B$2)"),"3 days ago")</f>
        <v>3 days ago</v>
      </c>
      <c r="D902" s="7" t="s">
        <v>1947</v>
      </c>
      <c r="E902" s="7" t="s">
        <v>271</v>
      </c>
      <c r="F902" s="7" t="s">
        <v>1900</v>
      </c>
      <c r="G902" s="7" t="s">
        <v>260</v>
      </c>
      <c r="H902" s="7" t="s">
        <v>261</v>
      </c>
      <c r="I902" s="7" t="s">
        <v>261</v>
      </c>
      <c r="J902" s="7" t="str">
        <f>IFERROR(__xludf.DUMMYFUNCTION("GOOGLETRANSLATE($I902, ""de"", ""en"")"),"NO SALARY DATA")</f>
        <v>NO SALARY DATA</v>
      </c>
      <c r="K902" s="7" t="s">
        <v>261</v>
      </c>
      <c r="L902" s="7" t="s">
        <v>777</v>
      </c>
      <c r="M902" s="7" t="s">
        <v>673</v>
      </c>
      <c r="N902" s="7" t="s">
        <v>420</v>
      </c>
      <c r="O902" s="7"/>
      <c r="P902" s="35"/>
      <c r="Q902" s="7"/>
    </row>
    <row r="903">
      <c r="A903" s="7">
        <v>898.0</v>
      </c>
      <c r="B903" s="7" t="s">
        <v>265</v>
      </c>
      <c r="C903" s="7" t="str">
        <f>IFERROR(__xludf.DUMMYFUNCTION("GOOGLETRANSLATE($B903, $A$2, $B$2)"),"More than 30 days ago")</f>
        <v>More than 30 days ago</v>
      </c>
      <c r="D903" s="7" t="s">
        <v>1948</v>
      </c>
      <c r="E903" s="7" t="s">
        <v>352</v>
      </c>
      <c r="F903" s="7" t="s">
        <v>1902</v>
      </c>
      <c r="G903" s="7" t="s">
        <v>260</v>
      </c>
      <c r="H903" s="7" t="s">
        <v>261</v>
      </c>
      <c r="I903" s="7" t="s">
        <v>261</v>
      </c>
      <c r="J903" s="7" t="str">
        <f>IFERROR(__xludf.DUMMYFUNCTION("GOOGLETRANSLATE($I903, ""de"", ""en"")"),"NO SALARY DATA")</f>
        <v>NO SALARY DATA</v>
      </c>
      <c r="K903" s="7" t="s">
        <v>261</v>
      </c>
      <c r="L903" s="7" t="s">
        <v>425</v>
      </c>
      <c r="M903" s="7" t="s">
        <v>263</v>
      </c>
      <c r="N903" s="7" t="s">
        <v>507</v>
      </c>
      <c r="O903" s="7"/>
      <c r="P903" s="37"/>
      <c r="Q903" s="7"/>
    </row>
    <row r="904">
      <c r="A904" s="7">
        <v>899.0</v>
      </c>
      <c r="B904" s="7" t="s">
        <v>375</v>
      </c>
      <c r="C904" s="7" t="str">
        <f>IFERROR(__xludf.DUMMYFUNCTION("GOOGLETRANSLATE($B904, $A$2, $B$2)"),"6 days ago")</f>
        <v>6 days ago</v>
      </c>
      <c r="D904" s="7" t="s">
        <v>1949</v>
      </c>
      <c r="E904" s="7" t="s">
        <v>271</v>
      </c>
      <c r="F904" s="7" t="s">
        <v>1950</v>
      </c>
      <c r="G904" s="7" t="s">
        <v>260</v>
      </c>
      <c r="H904" s="7" t="s">
        <v>261</v>
      </c>
      <c r="I904" s="7" t="s">
        <v>261</v>
      </c>
      <c r="J904" s="7" t="str">
        <f>IFERROR(__xludf.DUMMYFUNCTION("GOOGLETRANSLATE($I904, ""de"", ""en"")"),"NO SALARY DATA")</f>
        <v>NO SALARY DATA</v>
      </c>
      <c r="K904" s="7" t="s">
        <v>261</v>
      </c>
      <c r="L904" s="7" t="s">
        <v>1951</v>
      </c>
      <c r="M904" s="7" t="s">
        <v>452</v>
      </c>
      <c r="N904" s="7" t="s">
        <v>260</v>
      </c>
      <c r="O904" s="7"/>
      <c r="P904" s="35"/>
      <c r="Q904" s="7"/>
    </row>
    <row r="905">
      <c r="A905" s="7">
        <v>900.0</v>
      </c>
      <c r="B905" s="7" t="s">
        <v>265</v>
      </c>
      <c r="C905" s="7" t="str">
        <f>IFERROR(__xludf.DUMMYFUNCTION("GOOGLETRANSLATE($B905, $A$2, $B$2)"),"More than 30 days ago")</f>
        <v>More than 30 days ago</v>
      </c>
      <c r="D905" s="7" t="s">
        <v>1952</v>
      </c>
      <c r="E905" s="7" t="s">
        <v>1953</v>
      </c>
      <c r="F905" s="7" t="s">
        <v>1902</v>
      </c>
      <c r="G905" s="7" t="s">
        <v>260</v>
      </c>
      <c r="H905" s="7" t="s">
        <v>261</v>
      </c>
      <c r="I905" s="7" t="s">
        <v>261</v>
      </c>
      <c r="J905" s="7" t="str">
        <f>IFERROR(__xludf.DUMMYFUNCTION("GOOGLETRANSLATE($I905, ""de"", ""en"")"),"NO SALARY DATA")</f>
        <v>NO SALARY DATA</v>
      </c>
      <c r="K905" s="7" t="s">
        <v>261</v>
      </c>
      <c r="L905" s="7" t="s">
        <v>286</v>
      </c>
      <c r="M905" s="7" t="s">
        <v>263</v>
      </c>
      <c r="N905" s="7" t="s">
        <v>507</v>
      </c>
      <c r="O905" s="7"/>
      <c r="P905" s="37"/>
      <c r="Q905" s="7"/>
    </row>
    <row r="906">
      <c r="A906" s="7">
        <v>901.0</v>
      </c>
      <c r="B906" s="7" t="s">
        <v>292</v>
      </c>
      <c r="C906" s="7" t="str">
        <f>IFERROR(__xludf.DUMMYFUNCTION("GOOGLETRANSLATE($B906, $A$2, $B$2)"),"1 day ago")</f>
        <v>1 day ago</v>
      </c>
      <c r="D906" s="7" t="s">
        <v>306</v>
      </c>
      <c r="E906" s="7" t="s">
        <v>1891</v>
      </c>
      <c r="F906" s="7" t="s">
        <v>1954</v>
      </c>
      <c r="G906" s="7" t="s">
        <v>260</v>
      </c>
      <c r="H906" s="7" t="s">
        <v>261</v>
      </c>
      <c r="I906" s="7" t="s">
        <v>261</v>
      </c>
      <c r="J906" s="7" t="str">
        <f>IFERROR(__xludf.DUMMYFUNCTION("GOOGLETRANSLATE($I906, ""de"", ""en"")"),"NO SALARY DATA")</f>
        <v>NO SALARY DATA</v>
      </c>
      <c r="K906" s="7" t="s">
        <v>261</v>
      </c>
      <c r="L906" s="7" t="s">
        <v>643</v>
      </c>
      <c r="M906" s="7" t="s">
        <v>452</v>
      </c>
      <c r="N906" s="7" t="s">
        <v>260</v>
      </c>
      <c r="O906" s="7"/>
      <c r="P906" s="37"/>
      <c r="Q906" s="7"/>
    </row>
    <row r="907">
      <c r="A907" s="7">
        <v>902.0</v>
      </c>
      <c r="B907" s="7" t="s">
        <v>341</v>
      </c>
      <c r="C907" s="7" t="str">
        <f>IFERROR(__xludf.DUMMYFUNCTION("GOOGLETRANSLATE($B907, $A$2, $B$2)"),"before 14 days")</f>
        <v>before 14 days</v>
      </c>
      <c r="D907" s="7" t="s">
        <v>1941</v>
      </c>
      <c r="E907" s="7" t="s">
        <v>1462</v>
      </c>
      <c r="F907" s="7" t="s">
        <v>1942</v>
      </c>
      <c r="G907" s="7" t="s">
        <v>260</v>
      </c>
      <c r="H907" s="7" t="s">
        <v>261</v>
      </c>
      <c r="I907" s="7" t="s">
        <v>261</v>
      </c>
      <c r="J907" s="7" t="str">
        <f>IFERROR(__xludf.DUMMYFUNCTION("GOOGLETRANSLATE($I907, ""de"", ""en"")"),"NO SALARY DATA")</f>
        <v>NO SALARY DATA</v>
      </c>
      <c r="K907" s="7" t="s">
        <v>261</v>
      </c>
      <c r="L907" s="7" t="s">
        <v>649</v>
      </c>
      <c r="M907" s="7" t="s">
        <v>263</v>
      </c>
      <c r="N907" s="7" t="s">
        <v>260</v>
      </c>
      <c r="O907" s="7"/>
      <c r="P907" s="35"/>
      <c r="Q907" s="7"/>
    </row>
    <row r="908">
      <c r="A908" s="7">
        <v>903.0</v>
      </c>
      <c r="B908" s="7" t="s">
        <v>302</v>
      </c>
      <c r="C908" s="7" t="str">
        <f>IFERROR(__xludf.DUMMYFUNCTION("GOOGLETRANSLATE($B908, $A$2, $B$2)"),"today")</f>
        <v>today</v>
      </c>
      <c r="D908" s="7" t="s">
        <v>1955</v>
      </c>
      <c r="E908" s="7" t="s">
        <v>271</v>
      </c>
      <c r="F908" s="7" t="s">
        <v>1900</v>
      </c>
      <c r="G908" s="7" t="s">
        <v>260</v>
      </c>
      <c r="H908" s="7" t="s">
        <v>261</v>
      </c>
      <c r="I908" s="7" t="s">
        <v>261</v>
      </c>
      <c r="J908" s="7" t="str">
        <f>IFERROR(__xludf.DUMMYFUNCTION("GOOGLETRANSLATE($I908, ""de"", ""en"")"),"NO SALARY DATA")</f>
        <v>NO SALARY DATA</v>
      </c>
      <c r="K908" s="7" t="s">
        <v>261</v>
      </c>
      <c r="L908" s="7" t="s">
        <v>777</v>
      </c>
      <c r="M908" s="7" t="s">
        <v>263</v>
      </c>
      <c r="N908" s="7" t="s">
        <v>420</v>
      </c>
      <c r="O908" s="7"/>
      <c r="P908" s="35"/>
      <c r="Q908" s="7"/>
    </row>
    <row r="909">
      <c r="A909" s="7">
        <v>904.0</v>
      </c>
      <c r="B909" s="7" t="s">
        <v>533</v>
      </c>
      <c r="C909" s="7" t="str">
        <f>IFERROR(__xludf.DUMMYFUNCTION("GOOGLETRANSLATE($B909, $A$2, $B$2)"),"11 days ago")</f>
        <v>11 days ago</v>
      </c>
      <c r="D909" s="7" t="s">
        <v>1956</v>
      </c>
      <c r="E909" s="7" t="s">
        <v>280</v>
      </c>
      <c r="F909" s="7" t="s">
        <v>1937</v>
      </c>
      <c r="G909" s="7" t="s">
        <v>1957</v>
      </c>
      <c r="H909" s="7">
        <v>60000.0</v>
      </c>
      <c r="I909" s="7" t="s">
        <v>384</v>
      </c>
      <c r="J909" s="7" t="str">
        <f>IFERROR(__xludf.DUMMYFUNCTION("GOOGLETRANSLATE($I909, ""de"", ""en"")"),"year")</f>
        <v>year</v>
      </c>
      <c r="K909" s="7">
        <v>60000.0</v>
      </c>
      <c r="L909" s="7" t="s">
        <v>327</v>
      </c>
      <c r="M909" s="7" t="s">
        <v>263</v>
      </c>
      <c r="N909" s="7" t="s">
        <v>611</v>
      </c>
      <c r="O909" s="7"/>
      <c r="P909" s="35"/>
      <c r="Q909" s="7"/>
    </row>
    <row r="910">
      <c r="A910" s="7">
        <v>905.0</v>
      </c>
      <c r="B910" s="7" t="s">
        <v>442</v>
      </c>
      <c r="C910" s="7" t="str">
        <f>IFERROR(__xludf.DUMMYFUNCTION("GOOGLETRANSLATE($B910, $A$2, $B$2)"),"26 days ago")</f>
        <v>26 days ago</v>
      </c>
      <c r="D910" s="7" t="s">
        <v>1847</v>
      </c>
      <c r="E910" s="7" t="s">
        <v>280</v>
      </c>
      <c r="F910" s="7" t="s">
        <v>1958</v>
      </c>
      <c r="G910" s="7" t="s">
        <v>260</v>
      </c>
      <c r="H910" s="7" t="s">
        <v>261</v>
      </c>
      <c r="I910" s="7" t="s">
        <v>261</v>
      </c>
      <c r="J910" s="7" t="str">
        <f>IFERROR(__xludf.DUMMYFUNCTION("GOOGLETRANSLATE($I910, ""de"", ""en"")"),"NO SALARY DATA")</f>
        <v>NO SALARY DATA</v>
      </c>
      <c r="K910" s="7" t="s">
        <v>261</v>
      </c>
      <c r="L910" s="7"/>
      <c r="M910" s="7" t="s">
        <v>263</v>
      </c>
      <c r="N910" s="7" t="s">
        <v>434</v>
      </c>
      <c r="O910" s="7"/>
      <c r="P910" s="35"/>
      <c r="Q910" s="7"/>
    </row>
    <row r="911">
      <c r="A911" s="7">
        <v>906.0</v>
      </c>
      <c r="B911" s="7" t="s">
        <v>392</v>
      </c>
      <c r="C911" s="7" t="str">
        <f>IFERROR(__xludf.DUMMYFUNCTION("GOOGLETRANSLATE($B911, $A$2, $B$2)"),"10 days ago")</f>
        <v>10 days ago</v>
      </c>
      <c r="D911" s="7" t="s">
        <v>1959</v>
      </c>
      <c r="E911" s="7" t="s">
        <v>271</v>
      </c>
      <c r="F911" s="7" t="s">
        <v>1960</v>
      </c>
      <c r="G911" s="7" t="s">
        <v>260</v>
      </c>
      <c r="H911" s="7" t="s">
        <v>261</v>
      </c>
      <c r="I911" s="7" t="s">
        <v>261</v>
      </c>
      <c r="J911" s="7" t="str">
        <f>IFERROR(__xludf.DUMMYFUNCTION("GOOGLETRANSLATE($I911, ""de"", ""en"")"),"NO SALARY DATA")</f>
        <v>NO SALARY DATA</v>
      </c>
      <c r="K911" s="7" t="s">
        <v>261</v>
      </c>
      <c r="L911" s="7" t="s">
        <v>980</v>
      </c>
      <c r="M911" s="7" t="s">
        <v>263</v>
      </c>
      <c r="N911" s="7" t="s">
        <v>420</v>
      </c>
      <c r="O911" s="7"/>
      <c r="P911" s="37"/>
      <c r="Q911" s="7"/>
    </row>
    <row r="912">
      <c r="A912" s="7">
        <v>907.0</v>
      </c>
      <c r="B912" s="7" t="s">
        <v>265</v>
      </c>
      <c r="C912" s="7" t="str">
        <f>IFERROR(__xludf.DUMMYFUNCTION("GOOGLETRANSLATE($B912, $A$2, $B$2)"),"More than 30 days ago")</f>
        <v>More than 30 days ago</v>
      </c>
      <c r="D912" s="7" t="s">
        <v>1961</v>
      </c>
      <c r="E912" s="7" t="s">
        <v>271</v>
      </c>
      <c r="F912" s="7" t="s">
        <v>1885</v>
      </c>
      <c r="G912" s="7" t="s">
        <v>260</v>
      </c>
      <c r="H912" s="7" t="s">
        <v>261</v>
      </c>
      <c r="I912" s="7" t="s">
        <v>261</v>
      </c>
      <c r="J912" s="7" t="str">
        <f>IFERROR(__xludf.DUMMYFUNCTION("GOOGLETRANSLATE($I912, ""de"", ""en"")"),"NO SALARY DATA")</f>
        <v>NO SALARY DATA</v>
      </c>
      <c r="K912" s="7" t="s">
        <v>261</v>
      </c>
      <c r="L912" s="7" t="s">
        <v>1734</v>
      </c>
      <c r="M912" s="7" t="s">
        <v>452</v>
      </c>
      <c r="N912" s="7" t="s">
        <v>260</v>
      </c>
      <c r="O912" s="7"/>
      <c r="P912" s="37"/>
      <c r="Q912" s="7"/>
    </row>
    <row r="913">
      <c r="A913" s="7">
        <v>908.0</v>
      </c>
      <c r="B913" s="7" t="s">
        <v>265</v>
      </c>
      <c r="C913" s="7" t="str">
        <f>IFERROR(__xludf.DUMMYFUNCTION("GOOGLETRANSLATE($B913, $A$2, $B$2)"),"More than 30 days ago")</f>
        <v>More than 30 days ago</v>
      </c>
      <c r="D913" s="7" t="s">
        <v>706</v>
      </c>
      <c r="E913" s="7" t="s">
        <v>1462</v>
      </c>
      <c r="F913" s="7" t="s">
        <v>1942</v>
      </c>
      <c r="G913" s="7" t="s">
        <v>260</v>
      </c>
      <c r="H913" s="7" t="s">
        <v>261</v>
      </c>
      <c r="I913" s="7" t="s">
        <v>261</v>
      </c>
      <c r="J913" s="7" t="str">
        <f>IFERROR(__xludf.DUMMYFUNCTION("GOOGLETRANSLATE($I913, ""de"", ""en"")"),"NO SALARY DATA")</f>
        <v>NO SALARY DATA</v>
      </c>
      <c r="K913" s="7" t="s">
        <v>261</v>
      </c>
      <c r="L913" s="7" t="s">
        <v>423</v>
      </c>
      <c r="M913" s="7" t="s">
        <v>263</v>
      </c>
      <c r="N913" s="7" t="s">
        <v>260</v>
      </c>
      <c r="O913" s="7"/>
      <c r="P913" s="37"/>
      <c r="Q913" s="7"/>
    </row>
    <row r="914">
      <c r="A914" s="7">
        <v>909.0</v>
      </c>
      <c r="B914" s="7" t="s">
        <v>379</v>
      </c>
      <c r="C914" s="7" t="str">
        <f>IFERROR(__xludf.DUMMYFUNCTION("GOOGLETRANSLATE($B914, $A$2, $B$2)"),"13 days ago")</f>
        <v>13 days ago</v>
      </c>
      <c r="D914" s="7" t="s">
        <v>847</v>
      </c>
      <c r="E914" s="7" t="s">
        <v>401</v>
      </c>
      <c r="F914" s="7" t="s">
        <v>1962</v>
      </c>
      <c r="G914" s="7" t="s">
        <v>260</v>
      </c>
      <c r="H914" s="7" t="s">
        <v>261</v>
      </c>
      <c r="I914" s="7" t="s">
        <v>261</v>
      </c>
      <c r="J914" s="7" t="str">
        <f>IFERROR(__xludf.DUMMYFUNCTION("GOOGLETRANSLATE($I914, ""de"", ""en"")"),"NO SALARY DATA")</f>
        <v>NO SALARY DATA</v>
      </c>
      <c r="K914" s="7" t="s">
        <v>261</v>
      </c>
      <c r="L914" s="7" t="s">
        <v>286</v>
      </c>
      <c r="M914" s="7" t="s">
        <v>263</v>
      </c>
      <c r="N914" s="7" t="s">
        <v>260</v>
      </c>
      <c r="O914" s="7"/>
      <c r="P914" s="35"/>
      <c r="Q914" s="7"/>
    </row>
    <row r="915">
      <c r="A915" s="7">
        <v>910.0</v>
      </c>
      <c r="B915" s="7" t="s">
        <v>324</v>
      </c>
      <c r="C915" s="7" t="str">
        <f>IFERROR(__xludf.DUMMYFUNCTION("GOOGLETRANSLATE($B915, $A$2, $B$2)"),"3 days ago")</f>
        <v>3 days ago</v>
      </c>
      <c r="D915" s="7" t="s">
        <v>1963</v>
      </c>
      <c r="E915" s="7" t="s">
        <v>804</v>
      </c>
      <c r="F915" s="7" t="s">
        <v>1964</v>
      </c>
      <c r="G915" s="7" t="s">
        <v>260</v>
      </c>
      <c r="H915" s="7" t="s">
        <v>261</v>
      </c>
      <c r="I915" s="7" t="s">
        <v>261</v>
      </c>
      <c r="J915" s="7" t="str">
        <f>IFERROR(__xludf.DUMMYFUNCTION("GOOGLETRANSLATE($I915, ""de"", ""en"")"),"NO SALARY DATA")</f>
        <v>NO SALARY DATA</v>
      </c>
      <c r="K915" s="7" t="s">
        <v>261</v>
      </c>
      <c r="L915" s="7" t="s">
        <v>777</v>
      </c>
      <c r="M915" s="7" t="s">
        <v>263</v>
      </c>
      <c r="N915" s="7" t="s">
        <v>491</v>
      </c>
      <c r="O915" s="7"/>
      <c r="P915" s="35"/>
      <c r="Q915" s="7"/>
    </row>
    <row r="916">
      <c r="A916" s="7">
        <v>911.0</v>
      </c>
      <c r="B916" s="7" t="s">
        <v>292</v>
      </c>
      <c r="C916" s="7" t="str">
        <f>IFERROR(__xludf.DUMMYFUNCTION("GOOGLETRANSLATE($B916, $A$2, $B$2)"),"1 day ago")</f>
        <v>1 day ago</v>
      </c>
      <c r="D916" s="7" t="s">
        <v>1965</v>
      </c>
      <c r="E916" s="7" t="s">
        <v>408</v>
      </c>
      <c r="F916" s="7" t="s">
        <v>1966</v>
      </c>
      <c r="G916" s="7" t="s">
        <v>260</v>
      </c>
      <c r="H916" s="7" t="s">
        <v>261</v>
      </c>
      <c r="I916" s="7" t="s">
        <v>261</v>
      </c>
      <c r="J916" s="7" t="str">
        <f>IFERROR(__xludf.DUMMYFUNCTION("GOOGLETRANSLATE($I916, ""de"", ""en"")"),"NO SALARY DATA")</f>
        <v>NO SALARY DATA</v>
      </c>
      <c r="K916" s="7" t="s">
        <v>261</v>
      </c>
      <c r="L916" s="7" t="s">
        <v>1741</v>
      </c>
      <c r="M916" s="7" t="s">
        <v>263</v>
      </c>
      <c r="N916" s="7" t="s">
        <v>275</v>
      </c>
      <c r="O916" s="7"/>
      <c r="P916" s="37"/>
      <c r="Q916" s="7"/>
    </row>
    <row r="917">
      <c r="A917" s="7">
        <v>912.0</v>
      </c>
      <c r="B917" s="7" t="s">
        <v>269</v>
      </c>
      <c r="C917" s="7" t="str">
        <f>IFERROR(__xludf.DUMMYFUNCTION("GOOGLETRANSLATE($B917, $A$2, $B$2)"),"5 days ago")</f>
        <v>5 days ago</v>
      </c>
      <c r="D917" s="7" t="s">
        <v>1967</v>
      </c>
      <c r="E917" s="7" t="s">
        <v>1968</v>
      </c>
      <c r="F917" s="7" t="s">
        <v>1969</v>
      </c>
      <c r="G917" s="7" t="s">
        <v>260</v>
      </c>
      <c r="H917" s="7" t="s">
        <v>261</v>
      </c>
      <c r="I917" s="7" t="s">
        <v>261</v>
      </c>
      <c r="J917" s="7" t="str">
        <f>IFERROR(__xludf.DUMMYFUNCTION("GOOGLETRANSLATE($I917, ""de"", ""en"")"),"NO SALARY DATA")</f>
        <v>NO SALARY DATA</v>
      </c>
      <c r="K917" s="7" t="s">
        <v>261</v>
      </c>
      <c r="L917" s="7" t="s">
        <v>649</v>
      </c>
      <c r="M917" s="7" t="s">
        <v>263</v>
      </c>
      <c r="N917" s="7" t="s">
        <v>260</v>
      </c>
      <c r="O917" s="7"/>
      <c r="P917" s="37"/>
      <c r="Q917" s="7"/>
    </row>
    <row r="918">
      <c r="A918" s="7">
        <v>913.0</v>
      </c>
      <c r="B918" s="7" t="s">
        <v>508</v>
      </c>
      <c r="C918" s="7" t="str">
        <f>IFERROR(__xludf.DUMMYFUNCTION("GOOGLETRANSLATE($B918, $A$2, $B$2)"),"24 days ago")</f>
        <v>24 days ago</v>
      </c>
      <c r="D918" s="7" t="s">
        <v>1970</v>
      </c>
      <c r="E918" s="7" t="s">
        <v>480</v>
      </c>
      <c r="F918" s="7" t="s">
        <v>1971</v>
      </c>
      <c r="G918" s="7" t="s">
        <v>260</v>
      </c>
      <c r="H918" s="7" t="s">
        <v>261</v>
      </c>
      <c r="I918" s="7" t="s">
        <v>261</v>
      </c>
      <c r="J918" s="7" t="str">
        <f>IFERROR(__xludf.DUMMYFUNCTION("GOOGLETRANSLATE($I918, ""de"", ""en"")"),"NO SALARY DATA")</f>
        <v>NO SALARY DATA</v>
      </c>
      <c r="K918" s="7" t="s">
        <v>261</v>
      </c>
      <c r="L918" s="7"/>
      <c r="M918" s="7" t="s">
        <v>263</v>
      </c>
      <c r="N918" s="7" t="s">
        <v>260</v>
      </c>
      <c r="O918" s="7"/>
      <c r="P918" s="37"/>
      <c r="Q918" s="7"/>
    </row>
    <row r="919">
      <c r="A919" s="7">
        <v>914.0</v>
      </c>
      <c r="B919" s="7" t="s">
        <v>288</v>
      </c>
      <c r="C919" s="7" t="str">
        <f>IFERROR(__xludf.DUMMYFUNCTION("GOOGLETRANSLATE($B919, $A$2, $B$2)"),"2 days ago")</f>
        <v>2 days ago</v>
      </c>
      <c r="D919" s="7" t="s">
        <v>1972</v>
      </c>
      <c r="E919" s="7" t="s">
        <v>280</v>
      </c>
      <c r="F919" s="7" t="s">
        <v>1973</v>
      </c>
      <c r="G919" s="7" t="s">
        <v>260</v>
      </c>
      <c r="H919" s="7" t="s">
        <v>261</v>
      </c>
      <c r="I919" s="7" t="s">
        <v>261</v>
      </c>
      <c r="J919" s="7" t="str">
        <f>IFERROR(__xludf.DUMMYFUNCTION("GOOGLETRANSLATE($I919, ""de"", ""en"")"),"NO SALARY DATA")</f>
        <v>NO SALARY DATA</v>
      </c>
      <c r="K919" s="7" t="s">
        <v>261</v>
      </c>
      <c r="L919" s="7" t="s">
        <v>423</v>
      </c>
      <c r="M919" s="7" t="s">
        <v>263</v>
      </c>
      <c r="N919" s="7" t="s">
        <v>260</v>
      </c>
      <c r="O919" s="7"/>
      <c r="P919" s="37"/>
      <c r="Q919" s="7"/>
    </row>
    <row r="920">
      <c r="A920" s="7">
        <v>915.0</v>
      </c>
      <c r="B920" s="7" t="s">
        <v>379</v>
      </c>
      <c r="C920" s="7" t="str">
        <f>IFERROR(__xludf.DUMMYFUNCTION("GOOGLETRANSLATE($B920, $A$2, $B$2)"),"13 days ago")</f>
        <v>13 days ago</v>
      </c>
      <c r="D920" s="7" t="s">
        <v>847</v>
      </c>
      <c r="E920" s="7" t="s">
        <v>401</v>
      </c>
      <c r="F920" s="7" t="s">
        <v>1962</v>
      </c>
      <c r="G920" s="7" t="s">
        <v>260</v>
      </c>
      <c r="H920" s="7" t="s">
        <v>261</v>
      </c>
      <c r="I920" s="7" t="s">
        <v>261</v>
      </c>
      <c r="J920" s="7" t="str">
        <f>IFERROR(__xludf.DUMMYFUNCTION("GOOGLETRANSLATE($I920, ""de"", ""en"")"),"NO SALARY DATA")</f>
        <v>NO SALARY DATA</v>
      </c>
      <c r="K920" s="7" t="s">
        <v>261</v>
      </c>
      <c r="L920" s="7" t="s">
        <v>286</v>
      </c>
      <c r="M920" s="7" t="s">
        <v>263</v>
      </c>
      <c r="N920" s="7" t="s">
        <v>260</v>
      </c>
      <c r="O920" s="7"/>
      <c r="P920" s="35"/>
      <c r="Q920" s="7"/>
    </row>
    <row r="921">
      <c r="A921" s="7">
        <v>916.0</v>
      </c>
      <c r="B921" s="7" t="s">
        <v>324</v>
      </c>
      <c r="C921" s="7" t="str">
        <f>IFERROR(__xludf.DUMMYFUNCTION("GOOGLETRANSLATE($B921, $A$2, $B$2)"),"3 days ago")</f>
        <v>3 days ago</v>
      </c>
      <c r="D921" s="7" t="s">
        <v>1963</v>
      </c>
      <c r="E921" s="7" t="s">
        <v>804</v>
      </c>
      <c r="F921" s="7" t="s">
        <v>1964</v>
      </c>
      <c r="G921" s="7" t="s">
        <v>260</v>
      </c>
      <c r="H921" s="7" t="s">
        <v>261</v>
      </c>
      <c r="I921" s="7" t="s">
        <v>261</v>
      </c>
      <c r="J921" s="7" t="str">
        <f>IFERROR(__xludf.DUMMYFUNCTION("GOOGLETRANSLATE($I921, ""de"", ""en"")"),"NO SALARY DATA")</f>
        <v>NO SALARY DATA</v>
      </c>
      <c r="K921" s="7" t="s">
        <v>261</v>
      </c>
      <c r="L921" s="7" t="s">
        <v>777</v>
      </c>
      <c r="M921" s="7" t="s">
        <v>263</v>
      </c>
      <c r="N921" s="7" t="s">
        <v>491</v>
      </c>
      <c r="O921" s="7"/>
      <c r="P921" s="35"/>
      <c r="Q921" s="7"/>
    </row>
    <row r="922">
      <c r="A922" s="7">
        <v>917.0</v>
      </c>
      <c r="B922" s="7" t="s">
        <v>346</v>
      </c>
      <c r="C922" s="7" t="str">
        <f>IFERROR(__xludf.DUMMYFUNCTION("GOOGLETRANSLATE($B922, $A$2, $B$2)"),"12 days ago")</f>
        <v>12 days ago</v>
      </c>
      <c r="D922" s="7" t="s">
        <v>1866</v>
      </c>
      <c r="E922" s="7" t="s">
        <v>258</v>
      </c>
      <c r="F922" s="7" t="s">
        <v>1867</v>
      </c>
      <c r="G922" s="7" t="s">
        <v>260</v>
      </c>
      <c r="H922" s="7" t="s">
        <v>261</v>
      </c>
      <c r="I922" s="7" t="s">
        <v>261</v>
      </c>
      <c r="J922" s="7" t="str">
        <f>IFERROR(__xludf.DUMMYFUNCTION("GOOGLETRANSLATE($I922, ""de"", ""en"")"),"NO SALARY DATA")</f>
        <v>NO SALARY DATA</v>
      </c>
      <c r="K922" s="7" t="s">
        <v>261</v>
      </c>
      <c r="L922" s="7"/>
      <c r="M922" s="7" t="s">
        <v>263</v>
      </c>
      <c r="N922" s="7" t="s">
        <v>323</v>
      </c>
      <c r="O922" s="7"/>
      <c r="P922" s="35"/>
      <c r="Q922" s="7"/>
    </row>
    <row r="923">
      <c r="A923" s="7">
        <v>918.0</v>
      </c>
      <c r="B923" s="7" t="s">
        <v>392</v>
      </c>
      <c r="C923" s="7" t="str">
        <f>IFERROR(__xludf.DUMMYFUNCTION("GOOGLETRANSLATE($B923, $A$2, $B$2)"),"10 days ago")</f>
        <v>10 days ago</v>
      </c>
      <c r="D923" s="7" t="s">
        <v>1974</v>
      </c>
      <c r="E923" s="7" t="s">
        <v>348</v>
      </c>
      <c r="F923" s="7" t="s">
        <v>1975</v>
      </c>
      <c r="G923" s="7" t="s">
        <v>1976</v>
      </c>
      <c r="H923" s="7">
        <v>65000.0</v>
      </c>
      <c r="I923" s="7" t="s">
        <v>384</v>
      </c>
      <c r="J923" s="7" t="str">
        <f>IFERROR(__xludf.DUMMYFUNCTION("GOOGLETRANSLATE($I923, ""de"", ""en"")"),"year")</f>
        <v>year</v>
      </c>
      <c r="K923" s="7">
        <v>65000.0</v>
      </c>
      <c r="L923" s="7" t="s">
        <v>777</v>
      </c>
      <c r="M923" s="7" t="s">
        <v>263</v>
      </c>
      <c r="N923" s="7" t="s">
        <v>507</v>
      </c>
      <c r="O923" s="7"/>
      <c r="P923" s="37"/>
      <c r="Q923" s="7"/>
    </row>
    <row r="924">
      <c r="A924" s="7">
        <v>919.0</v>
      </c>
      <c r="B924" s="7" t="s">
        <v>269</v>
      </c>
      <c r="C924" s="7" t="str">
        <f>IFERROR(__xludf.DUMMYFUNCTION("GOOGLETRANSLATE($B924, $A$2, $B$2)"),"5 days ago")</f>
        <v>5 days ago</v>
      </c>
      <c r="D924" s="7" t="s">
        <v>1967</v>
      </c>
      <c r="E924" s="7" t="s">
        <v>1968</v>
      </c>
      <c r="F924" s="7" t="s">
        <v>1969</v>
      </c>
      <c r="G924" s="7" t="s">
        <v>260</v>
      </c>
      <c r="H924" s="7" t="s">
        <v>261</v>
      </c>
      <c r="I924" s="7" t="s">
        <v>261</v>
      </c>
      <c r="J924" s="7" t="str">
        <f>IFERROR(__xludf.DUMMYFUNCTION("GOOGLETRANSLATE($I924, ""de"", ""en"")"),"NO SALARY DATA")</f>
        <v>NO SALARY DATA</v>
      </c>
      <c r="K924" s="7" t="s">
        <v>261</v>
      </c>
      <c r="L924" s="7" t="s">
        <v>649</v>
      </c>
      <c r="M924" s="7" t="s">
        <v>263</v>
      </c>
      <c r="N924" s="7" t="s">
        <v>260</v>
      </c>
      <c r="O924" s="7"/>
      <c r="P924" s="35"/>
      <c r="Q924" s="7"/>
    </row>
    <row r="925">
      <c r="A925" s="7">
        <v>920.0</v>
      </c>
      <c r="B925" s="7" t="s">
        <v>346</v>
      </c>
      <c r="C925" s="7" t="str">
        <f>IFERROR(__xludf.DUMMYFUNCTION("GOOGLETRANSLATE($B925, $A$2, $B$2)"),"12 days ago")</f>
        <v>12 days ago</v>
      </c>
      <c r="D925" s="7" t="s">
        <v>700</v>
      </c>
      <c r="E925" s="7" t="s">
        <v>539</v>
      </c>
      <c r="F925" s="7" t="s">
        <v>1977</v>
      </c>
      <c r="G925" s="7" t="s">
        <v>260</v>
      </c>
      <c r="H925" s="7" t="s">
        <v>261</v>
      </c>
      <c r="I925" s="7" t="s">
        <v>261</v>
      </c>
      <c r="J925" s="7" t="str">
        <f>IFERROR(__xludf.DUMMYFUNCTION("GOOGLETRANSLATE($I925, ""de"", ""en"")"),"NO SALARY DATA")</f>
        <v>NO SALARY DATA</v>
      </c>
      <c r="K925" s="7" t="s">
        <v>261</v>
      </c>
      <c r="L925" s="7" t="s">
        <v>312</v>
      </c>
      <c r="M925" s="7" t="s">
        <v>263</v>
      </c>
      <c r="N925" s="7" t="s">
        <v>331</v>
      </c>
      <c r="O925" s="7"/>
      <c r="P925" s="37"/>
      <c r="Q925" s="7"/>
    </row>
    <row r="926">
      <c r="A926" s="7">
        <v>921.0</v>
      </c>
      <c r="B926" s="7" t="s">
        <v>375</v>
      </c>
      <c r="C926" s="7" t="str">
        <f>IFERROR(__xludf.DUMMYFUNCTION("GOOGLETRANSLATE($B926, $A$2, $B$2)"),"6 days ago")</f>
        <v>6 days ago</v>
      </c>
      <c r="D926" s="7" t="s">
        <v>1978</v>
      </c>
      <c r="E926" s="7" t="s">
        <v>1979</v>
      </c>
      <c r="F926" s="7" t="s">
        <v>1980</v>
      </c>
      <c r="G926" s="7" t="s">
        <v>260</v>
      </c>
      <c r="H926" s="7" t="s">
        <v>261</v>
      </c>
      <c r="I926" s="7" t="s">
        <v>261</v>
      </c>
      <c r="J926" s="7" t="str">
        <f>IFERROR(__xludf.DUMMYFUNCTION("GOOGLETRANSLATE($I926, ""de"", ""en"")"),"NO SALARY DATA")</f>
        <v>NO SALARY DATA</v>
      </c>
      <c r="K926" s="7" t="s">
        <v>261</v>
      </c>
      <c r="L926" s="7" t="s">
        <v>423</v>
      </c>
      <c r="M926" s="7" t="s">
        <v>263</v>
      </c>
      <c r="N926" s="7" t="s">
        <v>260</v>
      </c>
      <c r="O926" s="7"/>
      <c r="P926" s="37"/>
      <c r="Q926" s="7"/>
    </row>
    <row r="927">
      <c r="A927" s="7">
        <v>922.0</v>
      </c>
      <c r="B927" s="7" t="s">
        <v>358</v>
      </c>
      <c r="C927" s="7" t="str">
        <f>IFERROR(__xludf.DUMMYFUNCTION("GOOGLETRANSLATE($B927, $A$2, $B$2)"),"28 days ago")</f>
        <v>28 days ago</v>
      </c>
      <c r="D927" s="7" t="s">
        <v>1981</v>
      </c>
      <c r="E927" s="7" t="s">
        <v>1982</v>
      </c>
      <c r="F927" s="7" t="s">
        <v>1983</v>
      </c>
      <c r="G927" s="7" t="s">
        <v>260</v>
      </c>
      <c r="H927" s="7" t="s">
        <v>261</v>
      </c>
      <c r="I927" s="7" t="s">
        <v>261</v>
      </c>
      <c r="J927" s="7" t="str">
        <f>IFERROR(__xludf.DUMMYFUNCTION("GOOGLETRANSLATE($I927, ""de"", ""en"")"),"NO SALARY DATA")</f>
        <v>NO SALARY DATA</v>
      </c>
      <c r="K927" s="7" t="s">
        <v>261</v>
      </c>
      <c r="L927" s="7" t="s">
        <v>1940</v>
      </c>
      <c r="M927" s="7" t="s">
        <v>263</v>
      </c>
      <c r="N927" s="7" t="s">
        <v>260</v>
      </c>
      <c r="O927" s="7"/>
      <c r="P927" s="35"/>
      <c r="Q927" s="7"/>
    </row>
    <row r="928">
      <c r="A928" s="7">
        <v>923.0</v>
      </c>
      <c r="B928" s="7" t="s">
        <v>265</v>
      </c>
      <c r="C928" s="7" t="str">
        <f>IFERROR(__xludf.DUMMYFUNCTION("GOOGLETRANSLATE($B928, $A$2, $B$2)"),"More than 30 days ago")</f>
        <v>More than 30 days ago</v>
      </c>
      <c r="D928" s="7" t="s">
        <v>1984</v>
      </c>
      <c r="E928" s="7" t="s">
        <v>1985</v>
      </c>
      <c r="F928" s="7" t="s">
        <v>1902</v>
      </c>
      <c r="G928" s="7" t="s">
        <v>260</v>
      </c>
      <c r="H928" s="7" t="s">
        <v>261</v>
      </c>
      <c r="I928" s="7" t="s">
        <v>261</v>
      </c>
      <c r="J928" s="7" t="str">
        <f>IFERROR(__xludf.DUMMYFUNCTION("GOOGLETRANSLATE($I928, ""de"", ""en"")"),"NO SALARY DATA")</f>
        <v>NO SALARY DATA</v>
      </c>
      <c r="K928" s="7" t="s">
        <v>261</v>
      </c>
      <c r="L928" s="7" t="s">
        <v>286</v>
      </c>
      <c r="M928" s="7" t="s">
        <v>263</v>
      </c>
      <c r="N928" s="7" t="s">
        <v>507</v>
      </c>
      <c r="O928" s="7"/>
      <c r="P928" s="35"/>
      <c r="Q928" s="7"/>
    </row>
    <row r="929">
      <c r="A929" s="7">
        <v>924.0</v>
      </c>
      <c r="B929" s="7" t="s">
        <v>265</v>
      </c>
      <c r="C929" s="7" t="str">
        <f>IFERROR(__xludf.DUMMYFUNCTION("GOOGLETRANSLATE($B929, $A$2, $B$2)"),"More than 30 days ago")</f>
        <v>More than 30 days ago</v>
      </c>
      <c r="D929" s="7" t="s">
        <v>1948</v>
      </c>
      <c r="E929" s="7" t="s">
        <v>352</v>
      </c>
      <c r="F929" s="7" t="s">
        <v>1902</v>
      </c>
      <c r="G929" s="7" t="s">
        <v>260</v>
      </c>
      <c r="H929" s="7" t="s">
        <v>261</v>
      </c>
      <c r="I929" s="7" t="s">
        <v>261</v>
      </c>
      <c r="J929" s="7" t="str">
        <f>IFERROR(__xludf.DUMMYFUNCTION("GOOGLETRANSLATE($I929, ""de"", ""en"")"),"NO SALARY DATA")</f>
        <v>NO SALARY DATA</v>
      </c>
      <c r="K929" s="7" t="s">
        <v>261</v>
      </c>
      <c r="L929" s="7" t="s">
        <v>425</v>
      </c>
      <c r="M929" s="7" t="s">
        <v>263</v>
      </c>
      <c r="N929" s="7" t="s">
        <v>507</v>
      </c>
      <c r="O929" s="7"/>
      <c r="P929" s="37"/>
      <c r="Q929" s="7"/>
    </row>
    <row r="930">
      <c r="A930" s="7">
        <v>925.0</v>
      </c>
      <c r="B930" s="7" t="s">
        <v>324</v>
      </c>
      <c r="C930" s="7" t="str">
        <f>IFERROR(__xludf.DUMMYFUNCTION("GOOGLETRANSLATE($B930, $A$2, $B$2)"),"3 days ago")</f>
        <v>3 days ago</v>
      </c>
      <c r="D930" s="7" t="s">
        <v>1986</v>
      </c>
      <c r="E930" s="7" t="s">
        <v>271</v>
      </c>
      <c r="F930" s="7" t="s">
        <v>1987</v>
      </c>
      <c r="G930" s="7" t="s">
        <v>260</v>
      </c>
      <c r="H930" s="7" t="s">
        <v>261</v>
      </c>
      <c r="I930" s="7" t="s">
        <v>261</v>
      </c>
      <c r="J930" s="7" t="str">
        <f>IFERROR(__xludf.DUMMYFUNCTION("GOOGLETRANSLATE($I930, ""de"", ""en"")"),"NO SALARY DATA")</f>
        <v>NO SALARY DATA</v>
      </c>
      <c r="K930" s="7" t="s">
        <v>261</v>
      </c>
      <c r="L930" s="7" t="s">
        <v>419</v>
      </c>
      <c r="M930" s="7" t="s">
        <v>263</v>
      </c>
      <c r="N930" s="7" t="s">
        <v>260</v>
      </c>
      <c r="O930" s="7"/>
      <c r="P930" s="35"/>
      <c r="Q930" s="7"/>
    </row>
    <row r="931">
      <c r="A931" s="7">
        <v>926.0</v>
      </c>
      <c r="B931" s="7" t="s">
        <v>375</v>
      </c>
      <c r="C931" s="7" t="str">
        <f>IFERROR(__xludf.DUMMYFUNCTION("GOOGLETRANSLATE($B931, $A$2, $B$2)"),"6 days ago")</f>
        <v>6 days ago</v>
      </c>
      <c r="D931" s="7" t="s">
        <v>1439</v>
      </c>
      <c r="E931" s="7" t="s">
        <v>408</v>
      </c>
      <c r="F931" s="7" t="s">
        <v>1861</v>
      </c>
      <c r="G931" s="7" t="s">
        <v>260</v>
      </c>
      <c r="H931" s="7" t="s">
        <v>261</v>
      </c>
      <c r="I931" s="7" t="s">
        <v>261</v>
      </c>
      <c r="J931" s="7" t="str">
        <f>IFERROR(__xludf.DUMMYFUNCTION("GOOGLETRANSLATE($I931, ""de"", ""en"")"),"NO SALARY DATA")</f>
        <v>NO SALARY DATA</v>
      </c>
      <c r="K931" s="7" t="s">
        <v>261</v>
      </c>
      <c r="L931" s="7" t="s">
        <v>423</v>
      </c>
      <c r="M931" s="7" t="s">
        <v>263</v>
      </c>
      <c r="N931" s="7" t="s">
        <v>491</v>
      </c>
      <c r="O931" s="7"/>
      <c r="P931" s="35"/>
      <c r="Q931" s="7"/>
    </row>
    <row r="932">
      <c r="A932" s="7">
        <v>927.0</v>
      </c>
      <c r="B932" s="7" t="s">
        <v>637</v>
      </c>
      <c r="C932" s="7" t="str">
        <f>IFERROR(__xludf.DUMMYFUNCTION("GOOGLETRANSLATE($B932, $A$2, $B$2)"),"17 days ago")</f>
        <v>17 days ago</v>
      </c>
      <c r="D932" s="7" t="s">
        <v>283</v>
      </c>
      <c r="E932" s="7" t="s">
        <v>1922</v>
      </c>
      <c r="F932" s="7" t="s">
        <v>1867</v>
      </c>
      <c r="G932" s="7" t="s">
        <v>260</v>
      </c>
      <c r="H932" s="7" t="s">
        <v>261</v>
      </c>
      <c r="I932" s="7" t="s">
        <v>261</v>
      </c>
      <c r="J932" s="7" t="str">
        <f>IFERROR(__xludf.DUMMYFUNCTION("GOOGLETRANSLATE($I932, ""de"", ""en"")"),"NO SALARY DATA")</f>
        <v>NO SALARY DATA</v>
      </c>
      <c r="K932" s="7" t="s">
        <v>261</v>
      </c>
      <c r="L932" s="7" t="s">
        <v>312</v>
      </c>
      <c r="M932" s="7" t="s">
        <v>263</v>
      </c>
      <c r="N932" s="7" t="s">
        <v>323</v>
      </c>
      <c r="O932" s="7"/>
      <c r="P932" s="37"/>
      <c r="Q932" s="7"/>
    </row>
    <row r="933">
      <c r="A933" s="7">
        <v>928.0</v>
      </c>
      <c r="B933" s="7" t="s">
        <v>324</v>
      </c>
      <c r="C933" s="7" t="str">
        <f>IFERROR(__xludf.DUMMYFUNCTION("GOOGLETRANSLATE($B933, $A$2, $B$2)"),"3 days ago")</f>
        <v>3 days ago</v>
      </c>
      <c r="D933" s="7" t="s">
        <v>1988</v>
      </c>
      <c r="E933" s="7" t="s">
        <v>401</v>
      </c>
      <c r="F933" s="7" t="s">
        <v>1989</v>
      </c>
      <c r="G933" s="7" t="s">
        <v>260</v>
      </c>
      <c r="H933" s="7" t="s">
        <v>261</v>
      </c>
      <c r="I933" s="7" t="s">
        <v>261</v>
      </c>
      <c r="J933" s="7" t="str">
        <f>IFERROR(__xludf.DUMMYFUNCTION("GOOGLETRANSLATE($I933, ""de"", ""en"")"),"NO SALARY DATA")</f>
        <v>NO SALARY DATA</v>
      </c>
      <c r="K933" s="7" t="s">
        <v>261</v>
      </c>
      <c r="L933" s="7"/>
      <c r="M933" s="7" t="s">
        <v>263</v>
      </c>
      <c r="N933" s="7" t="s">
        <v>260</v>
      </c>
      <c r="O933" s="7"/>
      <c r="P933" s="37"/>
      <c r="Q933" s="7"/>
    </row>
    <row r="934">
      <c r="A934" s="7">
        <v>929.0</v>
      </c>
      <c r="B934" s="7" t="s">
        <v>1271</v>
      </c>
      <c r="C934" s="7" t="str">
        <f>IFERROR(__xludf.DUMMYFUNCTION("GOOGLETRANSLATE($B934, $A$2, $B$2)"),"27 days ago")</f>
        <v>27 days ago</v>
      </c>
      <c r="D934" s="7" t="s">
        <v>1990</v>
      </c>
      <c r="E934" s="7" t="s">
        <v>348</v>
      </c>
      <c r="F934" s="7" t="s">
        <v>1991</v>
      </c>
      <c r="G934" s="7" t="s">
        <v>1992</v>
      </c>
      <c r="H934" s="7">
        <v>100000.0</v>
      </c>
      <c r="I934" s="7" t="s">
        <v>384</v>
      </c>
      <c r="J934" s="7" t="str">
        <f>IFERROR(__xludf.DUMMYFUNCTION("GOOGLETRANSLATE($I934, ""de"", ""en"")"),"year")</f>
        <v>year</v>
      </c>
      <c r="K934" s="7">
        <v>100000.0</v>
      </c>
      <c r="L934" s="7" t="s">
        <v>777</v>
      </c>
      <c r="M934" s="7" t="s">
        <v>673</v>
      </c>
      <c r="N934" s="7" t="s">
        <v>260</v>
      </c>
      <c r="O934" s="7"/>
      <c r="P934" s="37"/>
      <c r="Q934" s="7"/>
    </row>
    <row r="935">
      <c r="A935" s="7">
        <v>930.0</v>
      </c>
      <c r="B935" s="7" t="s">
        <v>269</v>
      </c>
      <c r="C935" s="7" t="str">
        <f>IFERROR(__xludf.DUMMYFUNCTION("GOOGLETRANSLATE($B935, $A$2, $B$2)"),"5 days ago")</f>
        <v>5 days ago</v>
      </c>
      <c r="D935" s="7" t="s">
        <v>1993</v>
      </c>
      <c r="E935" s="7" t="s">
        <v>993</v>
      </c>
      <c r="F935" s="7" t="s">
        <v>1994</v>
      </c>
      <c r="G935" s="7" t="s">
        <v>260</v>
      </c>
      <c r="H935" s="7" t="s">
        <v>261</v>
      </c>
      <c r="I935" s="7" t="s">
        <v>261</v>
      </c>
      <c r="J935" s="7" t="str">
        <f>IFERROR(__xludf.DUMMYFUNCTION("GOOGLETRANSLATE($I935, ""de"", ""en"")"),"NO SALARY DATA")</f>
        <v>NO SALARY DATA</v>
      </c>
      <c r="K935" s="7" t="s">
        <v>261</v>
      </c>
      <c r="L935" s="7" t="s">
        <v>777</v>
      </c>
      <c r="M935" s="7" t="s">
        <v>263</v>
      </c>
      <c r="N935" s="7" t="s">
        <v>260</v>
      </c>
      <c r="O935" s="7"/>
      <c r="P935" s="37"/>
      <c r="Q935" s="7"/>
    </row>
    <row r="936">
      <c r="A936" s="7">
        <v>931.0</v>
      </c>
      <c r="B936" s="7" t="s">
        <v>288</v>
      </c>
      <c r="C936" s="7" t="str">
        <f>IFERROR(__xludf.DUMMYFUNCTION("GOOGLETRANSLATE($B936, $A$2, $B$2)"),"2 days ago")</f>
        <v>2 days ago</v>
      </c>
      <c r="D936" s="7" t="s">
        <v>1972</v>
      </c>
      <c r="E936" s="7" t="s">
        <v>280</v>
      </c>
      <c r="F936" s="7" t="s">
        <v>1973</v>
      </c>
      <c r="G936" s="7" t="s">
        <v>260</v>
      </c>
      <c r="H936" s="7" t="s">
        <v>261</v>
      </c>
      <c r="I936" s="7" t="s">
        <v>261</v>
      </c>
      <c r="J936" s="7" t="str">
        <f>IFERROR(__xludf.DUMMYFUNCTION("GOOGLETRANSLATE($I936, ""de"", ""en"")"),"NO SALARY DATA")</f>
        <v>NO SALARY DATA</v>
      </c>
      <c r="K936" s="7" t="s">
        <v>261</v>
      </c>
      <c r="L936" s="7" t="s">
        <v>423</v>
      </c>
      <c r="M936" s="7" t="s">
        <v>263</v>
      </c>
      <c r="N936" s="7" t="s">
        <v>260</v>
      </c>
      <c r="O936" s="7"/>
      <c r="P936" s="35"/>
      <c r="Q936" s="7"/>
    </row>
    <row r="937">
      <c r="A937" s="7">
        <v>932.0</v>
      </c>
      <c r="B937" s="7" t="s">
        <v>265</v>
      </c>
      <c r="C937" s="7" t="str">
        <f>IFERROR(__xludf.DUMMYFUNCTION("GOOGLETRANSLATE($B937, $A$2, $B$2)"),"More than 30 days ago")</f>
        <v>More than 30 days ago</v>
      </c>
      <c r="D937" s="7" t="s">
        <v>1995</v>
      </c>
      <c r="E937" s="7" t="s">
        <v>405</v>
      </c>
      <c r="F937" s="7" t="s">
        <v>1867</v>
      </c>
      <c r="G937" s="7" t="s">
        <v>260</v>
      </c>
      <c r="H937" s="7" t="s">
        <v>261</v>
      </c>
      <c r="I937" s="7" t="s">
        <v>261</v>
      </c>
      <c r="J937" s="7" t="str">
        <f>IFERROR(__xludf.DUMMYFUNCTION("GOOGLETRANSLATE($I937, ""de"", ""en"")"),"NO SALARY DATA")</f>
        <v>NO SALARY DATA</v>
      </c>
      <c r="K937" s="7" t="s">
        <v>261</v>
      </c>
      <c r="L937" s="7" t="s">
        <v>410</v>
      </c>
      <c r="M937" s="7" t="s">
        <v>263</v>
      </c>
      <c r="N937" s="7" t="s">
        <v>323</v>
      </c>
      <c r="O937" s="7"/>
      <c r="P937" s="35"/>
      <c r="Q937" s="7"/>
    </row>
    <row r="938">
      <c r="A938" s="7">
        <v>933.0</v>
      </c>
      <c r="B938" s="7" t="s">
        <v>892</v>
      </c>
      <c r="C938" s="7" t="str">
        <f>IFERROR(__xludf.DUMMYFUNCTION("GOOGLETRANSLATE($B938, $A$2, $B$2)"),"25 days ago")</f>
        <v>25 days ago</v>
      </c>
      <c r="D938" s="7" t="s">
        <v>1996</v>
      </c>
      <c r="E938" s="7" t="s">
        <v>1997</v>
      </c>
      <c r="F938" s="7" t="s">
        <v>1998</v>
      </c>
      <c r="G938" s="7" t="s">
        <v>260</v>
      </c>
      <c r="H938" s="7" t="s">
        <v>261</v>
      </c>
      <c r="I938" s="7" t="s">
        <v>261</v>
      </c>
      <c r="J938" s="7" t="str">
        <f>IFERROR(__xludf.DUMMYFUNCTION("GOOGLETRANSLATE($I938, ""de"", ""en"")"),"NO SALARY DATA")</f>
        <v>NO SALARY DATA</v>
      </c>
      <c r="K938" s="7" t="s">
        <v>261</v>
      </c>
      <c r="L938" s="7" t="s">
        <v>1373</v>
      </c>
      <c r="M938" s="7" t="s">
        <v>263</v>
      </c>
      <c r="N938" s="7" t="s">
        <v>336</v>
      </c>
      <c r="O938" s="7"/>
      <c r="P938" s="37"/>
      <c r="Q938" s="7"/>
    </row>
    <row r="939">
      <c r="A939" s="7">
        <v>934.0</v>
      </c>
      <c r="B939" s="7" t="s">
        <v>341</v>
      </c>
      <c r="C939" s="7" t="str">
        <f>IFERROR(__xludf.DUMMYFUNCTION("GOOGLETRANSLATE($B939, $A$2, $B$2)"),"before 14 days")</f>
        <v>before 14 days</v>
      </c>
      <c r="D939" s="7" t="s">
        <v>1999</v>
      </c>
      <c r="E939" s="7" t="s">
        <v>271</v>
      </c>
      <c r="F939" s="7" t="s">
        <v>2000</v>
      </c>
      <c r="G939" s="7" t="s">
        <v>260</v>
      </c>
      <c r="H939" s="7" t="s">
        <v>261</v>
      </c>
      <c r="I939" s="7" t="s">
        <v>261</v>
      </c>
      <c r="J939" s="7" t="str">
        <f>IFERROR(__xludf.DUMMYFUNCTION("GOOGLETRANSLATE($I939, ""de"", ""en"")"),"NO SALARY DATA")</f>
        <v>NO SALARY DATA</v>
      </c>
      <c r="K939" s="7" t="s">
        <v>261</v>
      </c>
      <c r="L939" s="7"/>
      <c r="M939" s="7" t="s">
        <v>263</v>
      </c>
      <c r="N939" s="7" t="s">
        <v>260</v>
      </c>
      <c r="O939" s="7"/>
      <c r="P939" s="35"/>
      <c r="Q939" s="7"/>
    </row>
    <row r="940">
      <c r="A940" s="7">
        <v>935.0</v>
      </c>
      <c r="B940" s="7" t="s">
        <v>265</v>
      </c>
      <c r="C940" s="7" t="str">
        <f>IFERROR(__xludf.DUMMYFUNCTION("GOOGLETRANSLATE($B940, $A$2, $B$2)"),"More than 30 days ago")</f>
        <v>More than 30 days ago</v>
      </c>
      <c r="D940" s="7" t="s">
        <v>2001</v>
      </c>
      <c r="E940" s="7" t="s">
        <v>343</v>
      </c>
      <c r="F940" s="7" t="s">
        <v>506</v>
      </c>
      <c r="G940" s="7" t="s">
        <v>260</v>
      </c>
      <c r="H940" s="7" t="s">
        <v>261</v>
      </c>
      <c r="I940" s="7" t="s">
        <v>261</v>
      </c>
      <c r="J940" s="7" t="str">
        <f>IFERROR(__xludf.DUMMYFUNCTION("GOOGLETRANSLATE($I940, ""de"", ""en"")"),"NO SALARY DATA")</f>
        <v>NO SALARY DATA</v>
      </c>
      <c r="K940" s="7" t="s">
        <v>261</v>
      </c>
      <c r="L940" s="7" t="s">
        <v>643</v>
      </c>
      <c r="M940" s="7" t="s">
        <v>263</v>
      </c>
      <c r="N940" s="7" t="s">
        <v>507</v>
      </c>
      <c r="O940" s="7"/>
      <c r="P940" s="37"/>
      <c r="Q940" s="7"/>
    </row>
    <row r="941">
      <c r="A941" s="7">
        <v>936.0</v>
      </c>
      <c r="B941" s="7" t="s">
        <v>324</v>
      </c>
      <c r="C941" s="7" t="str">
        <f>IFERROR(__xludf.DUMMYFUNCTION("GOOGLETRANSLATE($B941, $A$2, $B$2)"),"3 days ago")</f>
        <v>3 days ago</v>
      </c>
      <c r="D941" s="7" t="s">
        <v>1988</v>
      </c>
      <c r="E941" s="7" t="s">
        <v>401</v>
      </c>
      <c r="F941" s="7" t="s">
        <v>1989</v>
      </c>
      <c r="G941" s="7" t="s">
        <v>260</v>
      </c>
      <c r="H941" s="7" t="s">
        <v>261</v>
      </c>
      <c r="I941" s="7" t="s">
        <v>261</v>
      </c>
      <c r="J941" s="7" t="str">
        <f>IFERROR(__xludf.DUMMYFUNCTION("GOOGLETRANSLATE($I941, ""de"", ""en"")"),"NO SALARY DATA")</f>
        <v>NO SALARY DATA</v>
      </c>
      <c r="K941" s="7" t="s">
        <v>261</v>
      </c>
      <c r="L941" s="7"/>
      <c r="M941" s="7" t="s">
        <v>263</v>
      </c>
      <c r="N941" s="7" t="s">
        <v>260</v>
      </c>
      <c r="O941" s="7"/>
      <c r="P941" s="35"/>
      <c r="Q941" s="7"/>
    </row>
    <row r="942">
      <c r="A942" s="7">
        <v>937.0</v>
      </c>
      <c r="B942" s="7" t="s">
        <v>705</v>
      </c>
      <c r="C942" s="7" t="str">
        <f>IFERROR(__xludf.DUMMYFUNCTION("GOOGLETRANSLATE($B942, $A$2, $B$2)"),"9 days ago")</f>
        <v>9 days ago</v>
      </c>
      <c r="D942" s="7" t="s">
        <v>2002</v>
      </c>
      <c r="E942" s="7" t="s">
        <v>271</v>
      </c>
      <c r="F942" s="7" t="s">
        <v>2003</v>
      </c>
      <c r="G942" s="7" t="s">
        <v>260</v>
      </c>
      <c r="H942" s="7" t="s">
        <v>261</v>
      </c>
      <c r="I942" s="7" t="s">
        <v>261</v>
      </c>
      <c r="J942" s="7" t="str">
        <f>IFERROR(__xludf.DUMMYFUNCTION("GOOGLETRANSLATE($I942, ""de"", ""en"")"),"NO SALARY DATA")</f>
        <v>NO SALARY DATA</v>
      </c>
      <c r="K942" s="7" t="s">
        <v>261</v>
      </c>
      <c r="L942" s="7" t="s">
        <v>282</v>
      </c>
      <c r="M942" s="7" t="s">
        <v>263</v>
      </c>
      <c r="N942" s="7" t="s">
        <v>275</v>
      </c>
      <c r="O942" s="7"/>
      <c r="P942" s="37"/>
      <c r="Q942" s="7"/>
    </row>
    <row r="943">
      <c r="A943" s="7">
        <v>938.0</v>
      </c>
      <c r="B943" s="7" t="s">
        <v>508</v>
      </c>
      <c r="C943" s="7" t="str">
        <f>IFERROR(__xludf.DUMMYFUNCTION("GOOGLETRANSLATE($B943, $A$2, $B$2)"),"24 days ago")</f>
        <v>24 days ago</v>
      </c>
      <c r="D943" s="7" t="s">
        <v>1970</v>
      </c>
      <c r="E943" s="7" t="s">
        <v>480</v>
      </c>
      <c r="F943" s="7" t="s">
        <v>1971</v>
      </c>
      <c r="G943" s="7" t="s">
        <v>260</v>
      </c>
      <c r="H943" s="7" t="s">
        <v>261</v>
      </c>
      <c r="I943" s="7" t="s">
        <v>261</v>
      </c>
      <c r="J943" s="7" t="str">
        <f>IFERROR(__xludf.DUMMYFUNCTION("GOOGLETRANSLATE($I943, ""de"", ""en"")"),"NO SALARY DATA")</f>
        <v>NO SALARY DATA</v>
      </c>
      <c r="K943" s="7" t="s">
        <v>261</v>
      </c>
      <c r="L943" s="7"/>
      <c r="M943" s="7" t="s">
        <v>263</v>
      </c>
      <c r="N943" s="7" t="s">
        <v>260</v>
      </c>
      <c r="O943" s="7"/>
      <c r="P943" s="37"/>
      <c r="Q943" s="7"/>
    </row>
    <row r="944">
      <c r="A944" s="7">
        <v>939.0</v>
      </c>
      <c r="B944" s="7" t="s">
        <v>375</v>
      </c>
      <c r="C944" s="7" t="str">
        <f>IFERROR(__xludf.DUMMYFUNCTION("GOOGLETRANSLATE($B944, $A$2, $B$2)"),"6 days ago")</f>
        <v>6 days ago</v>
      </c>
      <c r="D944" s="7" t="s">
        <v>2004</v>
      </c>
      <c r="E944" s="7" t="s">
        <v>348</v>
      </c>
      <c r="F944" s="7" t="s">
        <v>2005</v>
      </c>
      <c r="G944" s="7" t="s">
        <v>260</v>
      </c>
      <c r="H944" s="7" t="s">
        <v>261</v>
      </c>
      <c r="I944" s="7" t="s">
        <v>261</v>
      </c>
      <c r="J944" s="7" t="str">
        <f>IFERROR(__xludf.DUMMYFUNCTION("GOOGLETRANSLATE($I944, ""de"", ""en"")"),"NO SALARY DATA")</f>
        <v>NO SALARY DATA</v>
      </c>
      <c r="K944" s="7" t="s">
        <v>261</v>
      </c>
      <c r="L944" s="7" t="s">
        <v>1077</v>
      </c>
      <c r="M944" s="7" t="s">
        <v>263</v>
      </c>
      <c r="N944" s="7" t="s">
        <v>260</v>
      </c>
      <c r="O944" s="7"/>
      <c r="P944" s="37"/>
      <c r="Q944" s="7"/>
    </row>
    <row r="945">
      <c r="A945" s="7">
        <v>940.0</v>
      </c>
      <c r="B945" s="7" t="s">
        <v>341</v>
      </c>
      <c r="C945" s="7" t="str">
        <f>IFERROR(__xludf.DUMMYFUNCTION("GOOGLETRANSLATE($B945, $A$2, $B$2)"),"before 14 days")</f>
        <v>before 14 days</v>
      </c>
      <c r="D945" s="7" t="s">
        <v>2006</v>
      </c>
      <c r="E945" s="7" t="s">
        <v>271</v>
      </c>
      <c r="F945" s="7" t="s">
        <v>2000</v>
      </c>
      <c r="G945" s="7" t="s">
        <v>260</v>
      </c>
      <c r="H945" s="7" t="s">
        <v>261</v>
      </c>
      <c r="I945" s="7" t="s">
        <v>261</v>
      </c>
      <c r="J945" s="7" t="str">
        <f>IFERROR(__xludf.DUMMYFUNCTION("GOOGLETRANSLATE($I945, ""de"", ""en"")"),"NO SALARY DATA")</f>
        <v>NO SALARY DATA</v>
      </c>
      <c r="K945" s="7" t="s">
        <v>261</v>
      </c>
      <c r="L945" s="7" t="s">
        <v>286</v>
      </c>
      <c r="M945" s="7" t="s">
        <v>263</v>
      </c>
      <c r="N945" s="7" t="s">
        <v>260</v>
      </c>
      <c r="O945" s="7"/>
      <c r="P945" s="37"/>
      <c r="Q945" s="7"/>
    </row>
    <row r="946">
      <c r="A946" s="7">
        <v>941.0</v>
      </c>
      <c r="B946" s="7" t="s">
        <v>392</v>
      </c>
      <c r="C946" s="7" t="str">
        <f>IFERROR(__xludf.DUMMYFUNCTION("GOOGLETRANSLATE($B946, $A$2, $B$2)"),"10 days ago")</f>
        <v>10 days ago</v>
      </c>
      <c r="D946" s="7" t="s">
        <v>2007</v>
      </c>
      <c r="E946" s="7" t="s">
        <v>408</v>
      </c>
      <c r="F946" s="7" t="s">
        <v>1711</v>
      </c>
      <c r="G946" s="7" t="s">
        <v>260</v>
      </c>
      <c r="H946" s="7" t="s">
        <v>261</v>
      </c>
      <c r="I946" s="7" t="s">
        <v>261</v>
      </c>
      <c r="J946" s="7" t="str">
        <f>IFERROR(__xludf.DUMMYFUNCTION("GOOGLETRANSLATE($I946, ""de"", ""en"")"),"NO SALARY DATA")</f>
        <v>NO SALARY DATA</v>
      </c>
      <c r="K946" s="7" t="s">
        <v>261</v>
      </c>
      <c r="L946" s="7" t="s">
        <v>305</v>
      </c>
      <c r="M946" s="7" t="s">
        <v>263</v>
      </c>
      <c r="N946" s="7" t="s">
        <v>260</v>
      </c>
      <c r="O946" s="7"/>
      <c r="P946" s="37"/>
      <c r="Q946" s="7"/>
    </row>
    <row r="947">
      <c r="A947" s="7">
        <v>942.0</v>
      </c>
      <c r="B947" s="7" t="s">
        <v>379</v>
      </c>
      <c r="C947" s="7" t="str">
        <f>IFERROR(__xludf.DUMMYFUNCTION("GOOGLETRANSLATE($B947, $A$2, $B$2)"),"13 days ago")</f>
        <v>13 days ago</v>
      </c>
      <c r="D947" s="7" t="s">
        <v>2008</v>
      </c>
      <c r="E947" s="7" t="s">
        <v>258</v>
      </c>
      <c r="F947" s="7" t="s">
        <v>2009</v>
      </c>
      <c r="G947" s="7" t="s">
        <v>260</v>
      </c>
      <c r="H947" s="7" t="s">
        <v>261</v>
      </c>
      <c r="I947" s="7" t="s">
        <v>261</v>
      </c>
      <c r="J947" s="7" t="str">
        <f>IFERROR(__xludf.DUMMYFUNCTION("GOOGLETRANSLATE($I947, ""de"", ""en"")"),"NO SALARY DATA")</f>
        <v>NO SALARY DATA</v>
      </c>
      <c r="K947" s="7" t="s">
        <v>261</v>
      </c>
      <c r="L947" s="7" t="s">
        <v>282</v>
      </c>
      <c r="M947" s="7" t="s">
        <v>673</v>
      </c>
      <c r="N947" s="7" t="s">
        <v>260</v>
      </c>
      <c r="O947" s="7"/>
      <c r="P947" s="35"/>
      <c r="Q947" s="7"/>
    </row>
    <row r="948">
      <c r="A948" s="7">
        <v>943.0</v>
      </c>
      <c r="B948" s="7" t="s">
        <v>392</v>
      </c>
      <c r="C948" s="7" t="str">
        <f>IFERROR(__xludf.DUMMYFUNCTION("GOOGLETRANSLATE($B948, $A$2, $B$2)"),"10 days ago")</f>
        <v>10 days ago</v>
      </c>
      <c r="D948" s="7" t="s">
        <v>1959</v>
      </c>
      <c r="E948" s="7" t="s">
        <v>271</v>
      </c>
      <c r="F948" s="7" t="s">
        <v>1960</v>
      </c>
      <c r="G948" s="7" t="s">
        <v>260</v>
      </c>
      <c r="H948" s="7" t="s">
        <v>261</v>
      </c>
      <c r="I948" s="7" t="s">
        <v>261</v>
      </c>
      <c r="J948" s="7" t="str">
        <f>IFERROR(__xludf.DUMMYFUNCTION("GOOGLETRANSLATE($I948, ""de"", ""en"")"),"NO SALARY DATA")</f>
        <v>NO SALARY DATA</v>
      </c>
      <c r="K948" s="7" t="s">
        <v>261</v>
      </c>
      <c r="L948" s="7" t="s">
        <v>980</v>
      </c>
      <c r="M948" s="7" t="s">
        <v>263</v>
      </c>
      <c r="N948" s="7" t="s">
        <v>420</v>
      </c>
      <c r="O948" s="7"/>
      <c r="P948" s="35"/>
      <c r="Q948" s="7"/>
    </row>
    <row r="949">
      <c r="A949" s="7">
        <v>944.0</v>
      </c>
      <c r="B949" s="7" t="s">
        <v>375</v>
      </c>
      <c r="C949" s="7" t="str">
        <f>IFERROR(__xludf.DUMMYFUNCTION("GOOGLETRANSLATE($B949, $A$2, $B$2)"),"6 days ago")</f>
        <v>6 days ago</v>
      </c>
      <c r="D949" s="7" t="s">
        <v>2010</v>
      </c>
      <c r="E949" s="7" t="s">
        <v>2011</v>
      </c>
      <c r="F949" s="7" t="s">
        <v>1900</v>
      </c>
      <c r="G949" s="7" t="s">
        <v>260</v>
      </c>
      <c r="H949" s="7" t="s">
        <v>261</v>
      </c>
      <c r="I949" s="7" t="s">
        <v>261</v>
      </c>
      <c r="J949" s="7" t="str">
        <f>IFERROR(__xludf.DUMMYFUNCTION("GOOGLETRANSLATE($I949, ""de"", ""en"")"),"NO SALARY DATA")</f>
        <v>NO SALARY DATA</v>
      </c>
      <c r="K949" s="7" t="s">
        <v>261</v>
      </c>
      <c r="L949" s="7" t="s">
        <v>398</v>
      </c>
      <c r="M949" s="7" t="s">
        <v>884</v>
      </c>
      <c r="N949" s="7" t="s">
        <v>420</v>
      </c>
      <c r="O949" s="7"/>
      <c r="P949" s="35"/>
      <c r="Q949" s="7"/>
    </row>
    <row r="950">
      <c r="A950" s="7">
        <v>945.0</v>
      </c>
      <c r="B950" s="7" t="s">
        <v>621</v>
      </c>
      <c r="C950" s="7" t="str">
        <f>IFERROR(__xludf.DUMMYFUNCTION("GOOGLETRANSLATE($B950, $A$2, $B$2)"),"20 days ago")</f>
        <v>20 days ago</v>
      </c>
      <c r="D950" s="7" t="s">
        <v>2012</v>
      </c>
      <c r="E950" s="7" t="s">
        <v>258</v>
      </c>
      <c r="F950" s="7" t="s">
        <v>1827</v>
      </c>
      <c r="G950" s="7" t="s">
        <v>260</v>
      </c>
      <c r="H950" s="7" t="s">
        <v>261</v>
      </c>
      <c r="I950" s="7" t="s">
        <v>261</v>
      </c>
      <c r="J950" s="7" t="str">
        <f>IFERROR(__xludf.DUMMYFUNCTION("GOOGLETRANSLATE($I950, ""de"", ""en"")"),"NO SALARY DATA")</f>
        <v>NO SALARY DATA</v>
      </c>
      <c r="K950" s="7" t="s">
        <v>261</v>
      </c>
      <c r="L950" s="7" t="s">
        <v>1731</v>
      </c>
      <c r="M950" s="7" t="s">
        <v>667</v>
      </c>
      <c r="N950" s="7" t="s">
        <v>486</v>
      </c>
      <c r="O950" s="7"/>
      <c r="P950" s="37"/>
      <c r="Q950" s="7"/>
    </row>
    <row r="951">
      <c r="A951" s="7">
        <v>946.0</v>
      </c>
      <c r="B951" s="7" t="s">
        <v>375</v>
      </c>
      <c r="C951" s="7" t="str">
        <f>IFERROR(__xludf.DUMMYFUNCTION("GOOGLETRANSLATE($B951, $A$2, $B$2)"),"6 days ago")</f>
        <v>6 days ago</v>
      </c>
      <c r="D951" s="7" t="s">
        <v>2013</v>
      </c>
      <c r="E951" s="7" t="s">
        <v>258</v>
      </c>
      <c r="F951" s="7" t="s">
        <v>2014</v>
      </c>
      <c r="G951" s="7" t="s">
        <v>260</v>
      </c>
      <c r="H951" s="7" t="s">
        <v>261</v>
      </c>
      <c r="I951" s="7" t="s">
        <v>261</v>
      </c>
      <c r="J951" s="7" t="str">
        <f>IFERROR(__xludf.DUMMYFUNCTION("GOOGLETRANSLATE($I951, ""de"", ""en"")"),"NO SALARY DATA")</f>
        <v>NO SALARY DATA</v>
      </c>
      <c r="K951" s="7" t="s">
        <v>261</v>
      </c>
      <c r="L951" s="7" t="s">
        <v>1373</v>
      </c>
      <c r="M951" s="7" t="s">
        <v>263</v>
      </c>
      <c r="N951" s="7" t="s">
        <v>260</v>
      </c>
      <c r="O951" s="7"/>
      <c r="P951" s="35"/>
      <c r="Q951" s="7"/>
    </row>
    <row r="952">
      <c r="A952" s="7">
        <v>947.0</v>
      </c>
      <c r="B952" s="7" t="s">
        <v>705</v>
      </c>
      <c r="C952" s="7" t="str">
        <f>IFERROR(__xludf.DUMMYFUNCTION("GOOGLETRANSLATE($B952, $A$2, $B$2)"),"9 days ago")</f>
        <v>9 days ago</v>
      </c>
      <c r="D952" s="7" t="s">
        <v>2002</v>
      </c>
      <c r="E952" s="7" t="s">
        <v>539</v>
      </c>
      <c r="F952" s="7" t="s">
        <v>2003</v>
      </c>
      <c r="G952" s="7" t="s">
        <v>260</v>
      </c>
      <c r="H952" s="7" t="s">
        <v>261</v>
      </c>
      <c r="I952" s="7" t="s">
        <v>261</v>
      </c>
      <c r="J952" s="7" t="str">
        <f>IFERROR(__xludf.DUMMYFUNCTION("GOOGLETRANSLATE($I952, ""de"", ""en"")"),"NO SALARY DATA")</f>
        <v>NO SALARY DATA</v>
      </c>
      <c r="K952" s="7" t="s">
        <v>261</v>
      </c>
      <c r="L952" s="7" t="s">
        <v>282</v>
      </c>
      <c r="M952" s="7" t="s">
        <v>263</v>
      </c>
      <c r="N952" s="7" t="s">
        <v>275</v>
      </c>
      <c r="O952" s="7"/>
      <c r="P952" s="35"/>
      <c r="Q952" s="7"/>
    </row>
    <row r="953">
      <c r="A953" s="7">
        <v>948.0</v>
      </c>
      <c r="B953" s="7" t="s">
        <v>392</v>
      </c>
      <c r="C953" s="7" t="str">
        <f>IFERROR(__xludf.DUMMYFUNCTION("GOOGLETRANSLATE($B953, $A$2, $B$2)"),"10 days ago")</f>
        <v>10 days ago</v>
      </c>
      <c r="D953" s="7" t="s">
        <v>2015</v>
      </c>
      <c r="E953" s="7" t="s">
        <v>348</v>
      </c>
      <c r="F953" s="7" t="s">
        <v>1975</v>
      </c>
      <c r="G953" s="7" t="s">
        <v>2016</v>
      </c>
      <c r="H953" s="7">
        <v>42500.0</v>
      </c>
      <c r="I953" s="7" t="s">
        <v>384</v>
      </c>
      <c r="J953" s="7" t="str">
        <f>IFERROR(__xludf.DUMMYFUNCTION("GOOGLETRANSLATE($I953, ""de"", ""en"")"),"year")</f>
        <v>year</v>
      </c>
      <c r="K953" s="7">
        <v>42500.0</v>
      </c>
      <c r="L953" s="7" t="s">
        <v>286</v>
      </c>
      <c r="M953" s="7" t="s">
        <v>673</v>
      </c>
      <c r="N953" s="7" t="s">
        <v>507</v>
      </c>
      <c r="O953" s="7"/>
      <c r="P953" s="37"/>
      <c r="Q953" s="7"/>
    </row>
    <row r="954">
      <c r="A954" s="7">
        <v>949.0</v>
      </c>
      <c r="B954" s="7" t="s">
        <v>392</v>
      </c>
      <c r="C954" s="7" t="str">
        <f>IFERROR(__xludf.DUMMYFUNCTION("GOOGLETRANSLATE($B954, $A$2, $B$2)"),"10 days ago")</f>
        <v>10 days ago</v>
      </c>
      <c r="D954" s="7" t="s">
        <v>2017</v>
      </c>
      <c r="E954" s="7" t="s">
        <v>2018</v>
      </c>
      <c r="F954" s="7" t="s">
        <v>2019</v>
      </c>
      <c r="G954" s="7" t="s">
        <v>260</v>
      </c>
      <c r="H954" s="7" t="s">
        <v>261</v>
      </c>
      <c r="I954" s="7" t="s">
        <v>261</v>
      </c>
      <c r="J954" s="7" t="str">
        <f>IFERROR(__xludf.DUMMYFUNCTION("GOOGLETRANSLATE($I954, ""de"", ""en"")"),"NO SALARY DATA")</f>
        <v>NO SALARY DATA</v>
      </c>
      <c r="K954" s="7" t="s">
        <v>261</v>
      </c>
      <c r="L954" s="7"/>
      <c r="M954" s="7" t="s">
        <v>263</v>
      </c>
      <c r="N954" s="7" t="s">
        <v>260</v>
      </c>
      <c r="O954" s="7"/>
      <c r="P954" s="35"/>
      <c r="Q954" s="7"/>
    </row>
    <row r="955">
      <c r="A955" s="7">
        <v>950.0</v>
      </c>
      <c r="B955" s="7" t="s">
        <v>375</v>
      </c>
      <c r="C955" s="7" t="str">
        <f>IFERROR(__xludf.DUMMYFUNCTION("GOOGLETRANSLATE($B955, $A$2, $B$2)"),"6 days ago")</f>
        <v>6 days ago</v>
      </c>
      <c r="D955" s="7" t="s">
        <v>1439</v>
      </c>
      <c r="E955" s="7" t="s">
        <v>408</v>
      </c>
      <c r="F955" s="7" t="s">
        <v>1861</v>
      </c>
      <c r="G955" s="7" t="s">
        <v>260</v>
      </c>
      <c r="H955" s="7" t="s">
        <v>261</v>
      </c>
      <c r="I955" s="7" t="s">
        <v>261</v>
      </c>
      <c r="J955" s="7" t="str">
        <f>IFERROR(__xludf.DUMMYFUNCTION("GOOGLETRANSLATE($I955, ""de"", ""en"")"),"NO SALARY DATA")</f>
        <v>NO SALARY DATA</v>
      </c>
      <c r="K955" s="7" t="s">
        <v>261</v>
      </c>
      <c r="L955" s="7" t="s">
        <v>423</v>
      </c>
      <c r="M955" s="7" t="s">
        <v>263</v>
      </c>
      <c r="N955" s="7" t="s">
        <v>491</v>
      </c>
      <c r="O955" s="7"/>
      <c r="P955" s="37"/>
      <c r="Q955" s="7"/>
    </row>
    <row r="956">
      <c r="A956" s="7">
        <v>951.0</v>
      </c>
      <c r="B956" s="7" t="s">
        <v>395</v>
      </c>
      <c r="C956" s="7" t="str">
        <f>IFERROR(__xludf.DUMMYFUNCTION("GOOGLETRANSLATE($B956, $A$2, $B$2)"),"21 days ago")</f>
        <v>21 days ago</v>
      </c>
      <c r="D956" s="7" t="s">
        <v>2020</v>
      </c>
      <c r="E956" s="7" t="s">
        <v>343</v>
      </c>
      <c r="F956" s="7" t="s">
        <v>2021</v>
      </c>
      <c r="G956" s="7" t="s">
        <v>2022</v>
      </c>
      <c r="H956" s="7">
        <v>25.0</v>
      </c>
      <c r="I956" s="7" t="s">
        <v>388</v>
      </c>
      <c r="J956" s="7" t="str">
        <f>IFERROR(__xludf.DUMMYFUNCTION("GOOGLETRANSLATE($I956, ""de"", ""en"")"),"hour")</f>
        <v>hour</v>
      </c>
      <c r="K956" s="7">
        <v>52800.0</v>
      </c>
      <c r="L956" s="7" t="s">
        <v>777</v>
      </c>
      <c r="M956" s="7" t="s">
        <v>452</v>
      </c>
      <c r="N956" s="7" t="s">
        <v>260</v>
      </c>
      <c r="O956" s="7"/>
      <c r="P956" s="37"/>
      <c r="Q956" s="7"/>
    </row>
    <row r="957">
      <c r="A957" s="7">
        <v>952.0</v>
      </c>
      <c r="B957" s="7" t="s">
        <v>288</v>
      </c>
      <c r="C957" s="7" t="str">
        <f>IFERROR(__xludf.DUMMYFUNCTION("GOOGLETRANSLATE($B957, $A$2, $B$2)"),"2 days ago")</f>
        <v>2 days ago</v>
      </c>
      <c r="D957" s="7" t="s">
        <v>2023</v>
      </c>
      <c r="E957" s="7" t="s">
        <v>271</v>
      </c>
      <c r="F957" s="7" t="s">
        <v>1987</v>
      </c>
      <c r="G957" s="7" t="s">
        <v>260</v>
      </c>
      <c r="H957" s="7" t="s">
        <v>261</v>
      </c>
      <c r="I957" s="7" t="s">
        <v>261</v>
      </c>
      <c r="J957" s="7" t="str">
        <f>IFERROR(__xludf.DUMMYFUNCTION("GOOGLETRANSLATE($I957, ""de"", ""en"")"),"NO SALARY DATA")</f>
        <v>NO SALARY DATA</v>
      </c>
      <c r="K957" s="7" t="s">
        <v>261</v>
      </c>
      <c r="L957" s="7" t="s">
        <v>419</v>
      </c>
      <c r="M957" s="7" t="s">
        <v>263</v>
      </c>
      <c r="N957" s="7" t="s">
        <v>260</v>
      </c>
      <c r="O957" s="7"/>
      <c r="P957" s="37"/>
      <c r="Q957" s="7"/>
    </row>
    <row r="958">
      <c r="A958" s="7">
        <v>953.0</v>
      </c>
      <c r="B958" s="7" t="s">
        <v>637</v>
      </c>
      <c r="C958" s="7" t="str">
        <f>IFERROR(__xludf.DUMMYFUNCTION("GOOGLETRANSLATE($B958, $A$2, $B$2)"),"17 days ago")</f>
        <v>17 days ago</v>
      </c>
      <c r="D958" s="7" t="s">
        <v>2024</v>
      </c>
      <c r="E958" s="7" t="s">
        <v>439</v>
      </c>
      <c r="F958" s="7" t="s">
        <v>2025</v>
      </c>
      <c r="G958" s="7" t="s">
        <v>260</v>
      </c>
      <c r="H958" s="7" t="s">
        <v>261</v>
      </c>
      <c r="I958" s="7" t="s">
        <v>261</v>
      </c>
      <c r="J958" s="7" t="str">
        <f>IFERROR(__xludf.DUMMYFUNCTION("GOOGLETRANSLATE($I958, ""de"", ""en"")"),"NO SALARY DATA")</f>
        <v>NO SALARY DATA</v>
      </c>
      <c r="K958" s="7" t="s">
        <v>261</v>
      </c>
      <c r="L958" s="7" t="s">
        <v>649</v>
      </c>
      <c r="M958" s="7" t="s">
        <v>263</v>
      </c>
      <c r="N958" s="7" t="s">
        <v>260</v>
      </c>
      <c r="O958" s="7"/>
      <c r="P958" s="37"/>
      <c r="Q958" s="7"/>
    </row>
    <row r="959">
      <c r="A959" s="7">
        <v>954.0</v>
      </c>
      <c r="B959" s="7" t="s">
        <v>392</v>
      </c>
      <c r="C959" s="7" t="str">
        <f>IFERROR(__xludf.DUMMYFUNCTION("GOOGLETRANSLATE($B959, $A$2, $B$2)"),"10 days ago")</f>
        <v>10 days ago</v>
      </c>
      <c r="D959" s="7" t="s">
        <v>2026</v>
      </c>
      <c r="E959" s="7" t="s">
        <v>1944</v>
      </c>
      <c r="F959" s="7" t="s">
        <v>1945</v>
      </c>
      <c r="G959" s="7" t="s">
        <v>260</v>
      </c>
      <c r="H959" s="7" t="s">
        <v>261</v>
      </c>
      <c r="I959" s="7" t="s">
        <v>261</v>
      </c>
      <c r="J959" s="7" t="str">
        <f>IFERROR(__xludf.DUMMYFUNCTION("GOOGLETRANSLATE($I959, ""de"", ""en"")"),"NO SALARY DATA")</f>
        <v>NO SALARY DATA</v>
      </c>
      <c r="K959" s="7" t="s">
        <v>261</v>
      </c>
      <c r="L959" s="7" t="s">
        <v>423</v>
      </c>
      <c r="M959" s="7" t="s">
        <v>263</v>
      </c>
      <c r="N959" s="7" t="s">
        <v>260</v>
      </c>
      <c r="O959" s="7"/>
      <c r="P959" s="37"/>
      <c r="Q959" s="7"/>
    </row>
    <row r="960">
      <c r="A960" s="7">
        <v>955.0</v>
      </c>
      <c r="B960" s="7" t="s">
        <v>2027</v>
      </c>
      <c r="C960" s="7" t="str">
        <f>IFERROR(__xludf.DUMMYFUNCTION("GOOGLETRANSLATE($B960, $A$2, $B$2)"),"22 days ago")</f>
        <v>22 days ago</v>
      </c>
      <c r="D960" s="7" t="s">
        <v>2028</v>
      </c>
      <c r="E960" s="7" t="s">
        <v>583</v>
      </c>
      <c r="F960" s="7" t="s">
        <v>2029</v>
      </c>
      <c r="G960" s="7" t="s">
        <v>260</v>
      </c>
      <c r="H960" s="7" t="s">
        <v>261</v>
      </c>
      <c r="I960" s="7" t="s">
        <v>261</v>
      </c>
      <c r="J960" s="7" t="str">
        <f>IFERROR(__xludf.DUMMYFUNCTION("GOOGLETRANSLATE($I960, ""de"", ""en"")"),"NO SALARY DATA")</f>
        <v>NO SALARY DATA</v>
      </c>
      <c r="K960" s="7" t="s">
        <v>261</v>
      </c>
      <c r="L960" s="7" t="s">
        <v>423</v>
      </c>
      <c r="M960" s="7" t="s">
        <v>263</v>
      </c>
      <c r="N960" s="7" t="s">
        <v>260</v>
      </c>
      <c r="O960" s="7"/>
      <c r="P960" s="35"/>
      <c r="Q960" s="7"/>
    </row>
    <row r="961">
      <c r="A961" s="7">
        <v>956.0</v>
      </c>
      <c r="B961" s="7" t="s">
        <v>379</v>
      </c>
      <c r="C961" s="7" t="str">
        <f>IFERROR(__xludf.DUMMYFUNCTION("GOOGLETRANSLATE($B961, $A$2, $B$2)"),"13 days ago")</f>
        <v>13 days ago</v>
      </c>
      <c r="D961" s="7" t="s">
        <v>2030</v>
      </c>
      <c r="E961" s="7" t="s">
        <v>539</v>
      </c>
      <c r="F961" s="7" t="s">
        <v>2031</v>
      </c>
      <c r="G961" s="7" t="s">
        <v>260</v>
      </c>
      <c r="H961" s="7" t="s">
        <v>261</v>
      </c>
      <c r="I961" s="7" t="s">
        <v>261</v>
      </c>
      <c r="J961" s="7" t="str">
        <f>IFERROR(__xludf.DUMMYFUNCTION("GOOGLETRANSLATE($I961, ""de"", ""en"")"),"NO SALARY DATA")</f>
        <v>NO SALARY DATA</v>
      </c>
      <c r="K961" s="7" t="s">
        <v>261</v>
      </c>
      <c r="L961" s="7" t="s">
        <v>2032</v>
      </c>
      <c r="M961" s="7" t="s">
        <v>263</v>
      </c>
      <c r="N961" s="7" t="s">
        <v>336</v>
      </c>
      <c r="O961" s="7"/>
      <c r="P961" s="35"/>
      <c r="Q961" s="7"/>
    </row>
    <row r="962">
      <c r="A962" s="7">
        <v>957.0</v>
      </c>
      <c r="B962" s="7" t="s">
        <v>705</v>
      </c>
      <c r="C962" s="7" t="str">
        <f>IFERROR(__xludf.DUMMYFUNCTION("GOOGLETRANSLATE($B962, $A$2, $B$2)"),"9 days ago")</f>
        <v>9 days ago</v>
      </c>
      <c r="D962" s="7" t="s">
        <v>2002</v>
      </c>
      <c r="E962" s="7" t="s">
        <v>539</v>
      </c>
      <c r="F962" s="7" t="s">
        <v>2003</v>
      </c>
      <c r="G962" s="7" t="s">
        <v>260</v>
      </c>
      <c r="H962" s="7" t="s">
        <v>261</v>
      </c>
      <c r="I962" s="7" t="s">
        <v>261</v>
      </c>
      <c r="J962" s="7" t="str">
        <f>IFERROR(__xludf.DUMMYFUNCTION("GOOGLETRANSLATE($I962, ""de"", ""en"")"),"NO SALARY DATA")</f>
        <v>NO SALARY DATA</v>
      </c>
      <c r="K962" s="7" t="s">
        <v>261</v>
      </c>
      <c r="L962" s="7" t="s">
        <v>282</v>
      </c>
      <c r="M962" s="7" t="s">
        <v>263</v>
      </c>
      <c r="N962" s="7" t="s">
        <v>275</v>
      </c>
      <c r="O962" s="7"/>
      <c r="P962" s="37"/>
      <c r="Q962" s="7"/>
    </row>
    <row r="963">
      <c r="A963" s="7">
        <v>958.0</v>
      </c>
      <c r="B963" s="7" t="s">
        <v>346</v>
      </c>
      <c r="C963" s="7" t="str">
        <f>IFERROR(__xludf.DUMMYFUNCTION("GOOGLETRANSLATE($B963, $A$2, $B$2)"),"12 days ago")</f>
        <v>12 days ago</v>
      </c>
      <c r="D963" s="7" t="s">
        <v>2033</v>
      </c>
      <c r="E963" s="7" t="s">
        <v>1835</v>
      </c>
      <c r="F963" s="7" t="s">
        <v>2034</v>
      </c>
      <c r="G963" s="7" t="s">
        <v>260</v>
      </c>
      <c r="H963" s="7" t="s">
        <v>261</v>
      </c>
      <c r="I963" s="7" t="s">
        <v>261</v>
      </c>
      <c r="J963" s="7" t="str">
        <f>IFERROR(__xludf.DUMMYFUNCTION("GOOGLETRANSLATE($I963, ""de"", ""en"")"),"NO SALARY DATA")</f>
        <v>NO SALARY DATA</v>
      </c>
      <c r="K963" s="7" t="s">
        <v>261</v>
      </c>
      <c r="L963" s="7" t="s">
        <v>711</v>
      </c>
      <c r="M963" s="7" t="s">
        <v>263</v>
      </c>
      <c r="N963" s="7" t="s">
        <v>260</v>
      </c>
      <c r="O963" s="7"/>
      <c r="P963" s="37"/>
      <c r="Q963" s="7"/>
    </row>
    <row r="964">
      <c r="A964" s="7">
        <v>959.0</v>
      </c>
      <c r="B964" s="7" t="s">
        <v>371</v>
      </c>
      <c r="C964" s="7" t="str">
        <f>IFERROR(__xludf.DUMMYFUNCTION("GOOGLETRANSLATE($B964, $A$2, $B$2)"),"Straight")</f>
        <v>Straight</v>
      </c>
      <c r="D964" s="7" t="s">
        <v>2035</v>
      </c>
      <c r="E964" s="7" t="s">
        <v>348</v>
      </c>
      <c r="F964" s="7" t="s">
        <v>1924</v>
      </c>
      <c r="G964" s="7" t="s">
        <v>260</v>
      </c>
      <c r="H964" s="7" t="s">
        <v>261</v>
      </c>
      <c r="I964" s="7" t="s">
        <v>261</v>
      </c>
      <c r="J964" s="7" t="str">
        <f>IFERROR(__xludf.DUMMYFUNCTION("GOOGLETRANSLATE($I964, ""de"", ""en"")"),"NO SALARY DATA")</f>
        <v>NO SALARY DATA</v>
      </c>
      <c r="K964" s="7" t="s">
        <v>261</v>
      </c>
      <c r="L964" s="7" t="s">
        <v>777</v>
      </c>
      <c r="M964" s="7" t="s">
        <v>673</v>
      </c>
      <c r="N964" s="7" t="s">
        <v>260</v>
      </c>
      <c r="O964" s="7"/>
      <c r="P964" s="37"/>
      <c r="Q964" s="7"/>
    </row>
    <row r="965">
      <c r="A965" s="7">
        <v>960.0</v>
      </c>
      <c r="B965" s="7" t="s">
        <v>265</v>
      </c>
      <c r="C965" s="7" t="str">
        <f>IFERROR(__xludf.DUMMYFUNCTION("GOOGLETRANSLATE($B965, $A$2, $B$2)"),"More than 30 days ago")</f>
        <v>More than 30 days ago</v>
      </c>
      <c r="D965" s="7" t="s">
        <v>2036</v>
      </c>
      <c r="E965" s="7" t="s">
        <v>307</v>
      </c>
      <c r="F965" s="7" t="s">
        <v>2037</v>
      </c>
      <c r="G965" s="7" t="s">
        <v>260</v>
      </c>
      <c r="H965" s="7" t="s">
        <v>261</v>
      </c>
      <c r="I965" s="7" t="s">
        <v>261</v>
      </c>
      <c r="J965" s="7" t="str">
        <f>IFERROR(__xludf.DUMMYFUNCTION("GOOGLETRANSLATE($I965, ""de"", ""en"")"),"NO SALARY DATA")</f>
        <v>NO SALARY DATA</v>
      </c>
      <c r="K965" s="7" t="s">
        <v>261</v>
      </c>
      <c r="L965" s="7"/>
      <c r="M965" s="7" t="s">
        <v>263</v>
      </c>
      <c r="N965" s="7" t="s">
        <v>260</v>
      </c>
      <c r="O965" s="7"/>
      <c r="P965" s="37"/>
      <c r="Q965" s="7"/>
    </row>
    <row r="966">
      <c r="A966" s="7">
        <v>961.0</v>
      </c>
      <c r="B966" s="7" t="s">
        <v>265</v>
      </c>
      <c r="C966" s="7" t="str">
        <f>IFERROR(__xludf.DUMMYFUNCTION("GOOGLETRANSLATE($B966, $A$2, $B$2)"),"More than 30 days ago")</f>
        <v>More than 30 days ago</v>
      </c>
      <c r="D966" s="7" t="s">
        <v>2038</v>
      </c>
      <c r="E966" s="7" t="s">
        <v>1406</v>
      </c>
      <c r="F966" s="7" t="s">
        <v>2039</v>
      </c>
      <c r="G966" s="7" t="s">
        <v>260</v>
      </c>
      <c r="H966" s="7" t="s">
        <v>261</v>
      </c>
      <c r="I966" s="7" t="s">
        <v>261</v>
      </c>
      <c r="J966" s="7" t="str">
        <f>IFERROR(__xludf.DUMMYFUNCTION("GOOGLETRANSLATE($I966, ""de"", ""en"")"),"NO SALARY DATA")</f>
        <v>NO SALARY DATA</v>
      </c>
      <c r="K966" s="7" t="s">
        <v>261</v>
      </c>
      <c r="L966" s="7" t="s">
        <v>1166</v>
      </c>
      <c r="M966" s="7" t="s">
        <v>263</v>
      </c>
      <c r="N966" s="7" t="s">
        <v>260</v>
      </c>
      <c r="O966" s="7"/>
      <c r="P966" s="35"/>
      <c r="Q966" s="7"/>
    </row>
    <row r="967">
      <c r="A967" s="7">
        <v>962.0</v>
      </c>
      <c r="B967" s="7" t="s">
        <v>292</v>
      </c>
      <c r="C967" s="7" t="str">
        <f>IFERROR(__xludf.DUMMYFUNCTION("GOOGLETRANSLATE($B967, $A$2, $B$2)"),"1 day ago")</f>
        <v>1 day ago</v>
      </c>
      <c r="D967" s="7" t="s">
        <v>1965</v>
      </c>
      <c r="E967" s="7" t="s">
        <v>408</v>
      </c>
      <c r="F967" s="7" t="s">
        <v>1966</v>
      </c>
      <c r="G967" s="7" t="s">
        <v>260</v>
      </c>
      <c r="H967" s="7" t="s">
        <v>261</v>
      </c>
      <c r="I967" s="7" t="s">
        <v>261</v>
      </c>
      <c r="J967" s="7" t="str">
        <f>IFERROR(__xludf.DUMMYFUNCTION("GOOGLETRANSLATE($I967, ""de"", ""en"")"),"NO SALARY DATA")</f>
        <v>NO SALARY DATA</v>
      </c>
      <c r="K967" s="7" t="s">
        <v>261</v>
      </c>
      <c r="L967" s="7" t="s">
        <v>1741</v>
      </c>
      <c r="M967" s="7" t="s">
        <v>263</v>
      </c>
      <c r="N967" s="7" t="s">
        <v>275</v>
      </c>
      <c r="O967" s="7"/>
      <c r="P967" s="37"/>
      <c r="Q967" s="7"/>
    </row>
    <row r="968">
      <c r="A968" s="7">
        <v>963.0</v>
      </c>
      <c r="B968" s="7" t="s">
        <v>346</v>
      </c>
      <c r="C968" s="7" t="str">
        <f>IFERROR(__xludf.DUMMYFUNCTION("GOOGLETRANSLATE($B968, $A$2, $B$2)"),"12 days ago")</f>
        <v>12 days ago</v>
      </c>
      <c r="D968" s="7" t="s">
        <v>2040</v>
      </c>
      <c r="E968" s="7" t="s">
        <v>1944</v>
      </c>
      <c r="F968" s="7" t="s">
        <v>2041</v>
      </c>
      <c r="G968" s="7" t="s">
        <v>260</v>
      </c>
      <c r="H968" s="7" t="s">
        <v>261</v>
      </c>
      <c r="I968" s="7" t="s">
        <v>261</v>
      </c>
      <c r="J968" s="7" t="str">
        <f>IFERROR(__xludf.DUMMYFUNCTION("GOOGLETRANSLATE($I968, ""de"", ""en"")"),"NO SALARY DATA")</f>
        <v>NO SALARY DATA</v>
      </c>
      <c r="K968" s="7" t="s">
        <v>261</v>
      </c>
      <c r="L968" s="7" t="s">
        <v>423</v>
      </c>
      <c r="M968" s="7" t="s">
        <v>263</v>
      </c>
      <c r="N968" s="7" t="s">
        <v>260</v>
      </c>
      <c r="O968" s="7"/>
      <c r="P968" s="37"/>
      <c r="Q968" s="7"/>
    </row>
    <row r="969">
      <c r="A969" s="7">
        <v>964.0</v>
      </c>
      <c r="B969" s="7" t="s">
        <v>288</v>
      </c>
      <c r="C969" s="7" t="str">
        <f>IFERROR(__xludf.DUMMYFUNCTION("GOOGLETRANSLATE($B969, $A$2, $B$2)"),"2 days ago")</f>
        <v>2 days ago</v>
      </c>
      <c r="D969" s="7" t="s">
        <v>2023</v>
      </c>
      <c r="E969" s="7" t="s">
        <v>271</v>
      </c>
      <c r="F969" s="7" t="s">
        <v>1987</v>
      </c>
      <c r="G969" s="7" t="s">
        <v>260</v>
      </c>
      <c r="H969" s="7" t="s">
        <v>261</v>
      </c>
      <c r="I969" s="7" t="s">
        <v>261</v>
      </c>
      <c r="J969" s="7" t="str">
        <f>IFERROR(__xludf.DUMMYFUNCTION("GOOGLETRANSLATE($I969, ""de"", ""en"")"),"NO SALARY DATA")</f>
        <v>NO SALARY DATA</v>
      </c>
      <c r="K969" s="7" t="s">
        <v>261</v>
      </c>
      <c r="L969" s="7" t="s">
        <v>419</v>
      </c>
      <c r="M969" s="7" t="s">
        <v>263</v>
      </c>
      <c r="N969" s="7" t="s">
        <v>260</v>
      </c>
      <c r="O969" s="7"/>
      <c r="P969" s="35"/>
      <c r="Q969" s="7"/>
    </row>
    <row r="970">
      <c r="A970" s="7">
        <v>965.0</v>
      </c>
      <c r="B970" s="7" t="s">
        <v>265</v>
      </c>
      <c r="C970" s="7" t="str">
        <f>IFERROR(__xludf.DUMMYFUNCTION("GOOGLETRANSLATE($B970, $A$2, $B$2)"),"More than 30 days ago")</f>
        <v>More than 30 days ago</v>
      </c>
      <c r="D970" s="7" t="s">
        <v>2042</v>
      </c>
      <c r="E970" s="7" t="s">
        <v>343</v>
      </c>
      <c r="F970" s="7" t="s">
        <v>506</v>
      </c>
      <c r="G970" s="7" t="s">
        <v>260</v>
      </c>
      <c r="H970" s="7" t="s">
        <v>261</v>
      </c>
      <c r="I970" s="7" t="s">
        <v>261</v>
      </c>
      <c r="J970" s="7" t="str">
        <f>IFERROR(__xludf.DUMMYFUNCTION("GOOGLETRANSLATE($I970, ""de"", ""en"")"),"NO SALARY DATA")</f>
        <v>NO SALARY DATA</v>
      </c>
      <c r="K970" s="7" t="s">
        <v>261</v>
      </c>
      <c r="L970" s="7" t="s">
        <v>2043</v>
      </c>
      <c r="M970" s="7" t="s">
        <v>263</v>
      </c>
      <c r="N970" s="7" t="s">
        <v>507</v>
      </c>
      <c r="O970" s="7"/>
      <c r="P970" s="35"/>
      <c r="Q970" s="7"/>
    </row>
    <row r="971">
      <c r="A971" s="7">
        <v>966.0</v>
      </c>
      <c r="B971" s="7" t="s">
        <v>265</v>
      </c>
      <c r="C971" s="7" t="str">
        <f>IFERROR(__xludf.DUMMYFUNCTION("GOOGLETRANSLATE($B971, $A$2, $B$2)"),"More than 30 days ago")</f>
        <v>More than 30 days ago</v>
      </c>
      <c r="D971" s="7" t="s">
        <v>1427</v>
      </c>
      <c r="E971" s="7" t="s">
        <v>343</v>
      </c>
      <c r="F971" s="7" t="s">
        <v>506</v>
      </c>
      <c r="G971" s="7" t="s">
        <v>260</v>
      </c>
      <c r="H971" s="7" t="s">
        <v>261</v>
      </c>
      <c r="I971" s="7" t="s">
        <v>261</v>
      </c>
      <c r="J971" s="7" t="str">
        <f>IFERROR(__xludf.DUMMYFUNCTION("GOOGLETRANSLATE($I971, ""de"", ""en"")"),"NO SALARY DATA")</f>
        <v>NO SALARY DATA</v>
      </c>
      <c r="K971" s="7" t="s">
        <v>261</v>
      </c>
      <c r="L971" s="7" t="s">
        <v>585</v>
      </c>
      <c r="M971" s="7" t="s">
        <v>263</v>
      </c>
      <c r="N971" s="7" t="s">
        <v>507</v>
      </c>
      <c r="O971" s="7"/>
      <c r="P971" s="35"/>
      <c r="Q971" s="7"/>
    </row>
    <row r="972">
      <c r="A972" s="7">
        <v>967.0</v>
      </c>
      <c r="B972" s="7" t="s">
        <v>892</v>
      </c>
      <c r="C972" s="7" t="str">
        <f>IFERROR(__xludf.DUMMYFUNCTION("GOOGLETRANSLATE($B972, $A$2, $B$2)"),"25 days ago")</f>
        <v>25 days ago</v>
      </c>
      <c r="D972" s="7" t="s">
        <v>2044</v>
      </c>
      <c r="E972" s="7" t="s">
        <v>258</v>
      </c>
      <c r="F972" s="7" t="s">
        <v>665</v>
      </c>
      <c r="G972" s="7" t="s">
        <v>260</v>
      </c>
      <c r="H972" s="7" t="s">
        <v>261</v>
      </c>
      <c r="I972" s="7" t="s">
        <v>261</v>
      </c>
      <c r="J972" s="7" t="str">
        <f>IFERROR(__xludf.DUMMYFUNCTION("GOOGLETRANSLATE($I972, ""de"", ""en"")"),"NO SALARY DATA")</f>
        <v>NO SALARY DATA</v>
      </c>
      <c r="K972" s="7" t="s">
        <v>261</v>
      </c>
      <c r="L972" s="7" t="s">
        <v>2045</v>
      </c>
      <c r="M972" s="7" t="s">
        <v>667</v>
      </c>
      <c r="N972" s="7" t="s">
        <v>486</v>
      </c>
      <c r="O972" s="7"/>
      <c r="P972" s="37"/>
      <c r="Q972" s="7"/>
    </row>
    <row r="973">
      <c r="A973" s="7">
        <v>968.0</v>
      </c>
      <c r="B973" s="7" t="s">
        <v>265</v>
      </c>
      <c r="C973" s="7" t="str">
        <f>IFERROR(__xludf.DUMMYFUNCTION("GOOGLETRANSLATE($B973, $A$2, $B$2)"),"More than 30 days ago")</f>
        <v>More than 30 days ago</v>
      </c>
      <c r="D973" s="7" t="s">
        <v>2046</v>
      </c>
      <c r="E973" s="7" t="s">
        <v>258</v>
      </c>
      <c r="F973" s="7" t="s">
        <v>2047</v>
      </c>
      <c r="G973" s="7" t="s">
        <v>260</v>
      </c>
      <c r="H973" s="7" t="s">
        <v>261</v>
      </c>
      <c r="I973" s="7" t="s">
        <v>261</v>
      </c>
      <c r="J973" s="7" t="str">
        <f>IFERROR(__xludf.DUMMYFUNCTION("GOOGLETRANSLATE($I973, ""de"", ""en"")"),"NO SALARY DATA")</f>
        <v>NO SALARY DATA</v>
      </c>
      <c r="K973" s="7" t="s">
        <v>261</v>
      </c>
      <c r="L973" s="7" t="s">
        <v>345</v>
      </c>
      <c r="M973" s="7" t="s">
        <v>274</v>
      </c>
      <c r="N973" s="7" t="s">
        <v>260</v>
      </c>
      <c r="O973" s="7"/>
      <c r="P973" s="37"/>
      <c r="Q973" s="7"/>
    </row>
    <row r="974">
      <c r="A974" s="7">
        <v>969.0</v>
      </c>
      <c r="B974" s="7" t="s">
        <v>265</v>
      </c>
      <c r="C974" s="7" t="str">
        <f>IFERROR(__xludf.DUMMYFUNCTION("GOOGLETRANSLATE($B974, $A$2, $B$2)"),"More than 30 days ago")</f>
        <v>More than 30 days ago</v>
      </c>
      <c r="D974" s="7" t="s">
        <v>2048</v>
      </c>
      <c r="E974" s="7" t="s">
        <v>348</v>
      </c>
      <c r="F974" s="7" t="s">
        <v>2049</v>
      </c>
      <c r="G974" s="7" t="s">
        <v>260</v>
      </c>
      <c r="H974" s="7" t="s">
        <v>261</v>
      </c>
      <c r="I974" s="7" t="s">
        <v>261</v>
      </c>
      <c r="J974" s="7" t="str">
        <f>IFERROR(__xludf.DUMMYFUNCTION("GOOGLETRANSLATE($I974, ""de"", ""en"")"),"NO SALARY DATA")</f>
        <v>NO SALARY DATA</v>
      </c>
      <c r="K974" s="7" t="s">
        <v>261</v>
      </c>
      <c r="L974" s="7"/>
      <c r="M974" s="7" t="s">
        <v>263</v>
      </c>
      <c r="N974" s="7" t="s">
        <v>260</v>
      </c>
      <c r="O974" s="7"/>
      <c r="P974" s="37"/>
      <c r="Q974" s="7"/>
    </row>
    <row r="975">
      <c r="A975" s="7">
        <v>970.0</v>
      </c>
      <c r="B975" s="7" t="s">
        <v>265</v>
      </c>
      <c r="C975" s="7" t="str">
        <f>IFERROR(__xludf.DUMMYFUNCTION("GOOGLETRANSLATE($B975, $A$2, $B$2)"),"More than 30 days ago")</f>
        <v>More than 30 days ago</v>
      </c>
      <c r="D975" s="7" t="s">
        <v>2050</v>
      </c>
      <c r="E975" s="7" t="s">
        <v>352</v>
      </c>
      <c r="F975" s="7" t="s">
        <v>2051</v>
      </c>
      <c r="G975" s="7" t="s">
        <v>260</v>
      </c>
      <c r="H975" s="7" t="s">
        <v>261</v>
      </c>
      <c r="I975" s="7" t="s">
        <v>261</v>
      </c>
      <c r="J975" s="7" t="str">
        <f>IFERROR(__xludf.DUMMYFUNCTION("GOOGLETRANSLATE($I975, ""de"", ""en"")"),"NO SALARY DATA")</f>
        <v>NO SALARY DATA</v>
      </c>
      <c r="K975" s="7" t="s">
        <v>261</v>
      </c>
      <c r="L975" s="7" t="s">
        <v>1373</v>
      </c>
      <c r="M975" s="7" t="s">
        <v>263</v>
      </c>
      <c r="N975" s="7" t="s">
        <v>260</v>
      </c>
      <c r="O975" s="7"/>
      <c r="P975" s="35"/>
      <c r="Q975" s="7"/>
    </row>
    <row r="976">
      <c r="A976" s="7">
        <v>971.0</v>
      </c>
      <c r="B976" s="7" t="s">
        <v>265</v>
      </c>
      <c r="C976" s="7" t="str">
        <f>IFERROR(__xludf.DUMMYFUNCTION("GOOGLETRANSLATE($B976, $A$2, $B$2)"),"More than 30 days ago")</f>
        <v>More than 30 days ago</v>
      </c>
      <c r="D976" s="7" t="s">
        <v>2052</v>
      </c>
      <c r="E976" s="7" t="s">
        <v>2053</v>
      </c>
      <c r="F976" s="7" t="s">
        <v>2054</v>
      </c>
      <c r="G976" s="7" t="s">
        <v>260</v>
      </c>
      <c r="H976" s="7" t="s">
        <v>261</v>
      </c>
      <c r="I976" s="7" t="s">
        <v>261</v>
      </c>
      <c r="J976" s="7" t="str">
        <f>IFERROR(__xludf.DUMMYFUNCTION("GOOGLETRANSLATE($I976, ""de"", ""en"")"),"NO SALARY DATA")</f>
        <v>NO SALARY DATA</v>
      </c>
      <c r="K976" s="7" t="s">
        <v>261</v>
      </c>
      <c r="L976" s="7" t="s">
        <v>423</v>
      </c>
      <c r="M976" s="7" t="s">
        <v>263</v>
      </c>
      <c r="N976" s="7" t="s">
        <v>725</v>
      </c>
      <c r="O976" s="7"/>
      <c r="P976" s="37"/>
      <c r="Q976" s="7"/>
    </row>
    <row r="977">
      <c r="A977" s="7">
        <v>972.0</v>
      </c>
      <c r="B977" s="7" t="s">
        <v>392</v>
      </c>
      <c r="C977" s="7" t="str">
        <f>IFERROR(__xludf.DUMMYFUNCTION("GOOGLETRANSLATE($B977, $A$2, $B$2)"),"10 days ago")</f>
        <v>10 days ago</v>
      </c>
      <c r="D977" s="7" t="s">
        <v>2017</v>
      </c>
      <c r="E977" s="7" t="s">
        <v>2018</v>
      </c>
      <c r="F977" s="7" t="s">
        <v>2019</v>
      </c>
      <c r="G977" s="7" t="s">
        <v>260</v>
      </c>
      <c r="H977" s="7" t="s">
        <v>261</v>
      </c>
      <c r="I977" s="7" t="s">
        <v>261</v>
      </c>
      <c r="J977" s="7" t="str">
        <f>IFERROR(__xludf.DUMMYFUNCTION("GOOGLETRANSLATE($I977, ""de"", ""en"")"),"NO SALARY DATA")</f>
        <v>NO SALARY DATA</v>
      </c>
      <c r="K977" s="7" t="s">
        <v>261</v>
      </c>
      <c r="L977" s="7"/>
      <c r="M977" s="7" t="s">
        <v>263</v>
      </c>
      <c r="N977" s="7" t="s">
        <v>260</v>
      </c>
      <c r="O977" s="7"/>
      <c r="P977" s="37"/>
      <c r="Q977" s="7"/>
    </row>
    <row r="978">
      <c r="A978" s="7">
        <v>973.0</v>
      </c>
      <c r="B978" s="7" t="s">
        <v>265</v>
      </c>
      <c r="C978" s="7" t="str">
        <f>IFERROR(__xludf.DUMMYFUNCTION("GOOGLETRANSLATE($B978, $A$2, $B$2)"),"More than 30 days ago")</f>
        <v>More than 30 days ago</v>
      </c>
      <c r="D978" s="7" t="s">
        <v>762</v>
      </c>
      <c r="E978" s="7" t="s">
        <v>408</v>
      </c>
      <c r="F978" s="7" t="s">
        <v>1711</v>
      </c>
      <c r="G978" s="7" t="s">
        <v>260</v>
      </c>
      <c r="H978" s="7" t="s">
        <v>261</v>
      </c>
      <c r="I978" s="7" t="s">
        <v>261</v>
      </c>
      <c r="J978" s="7" t="str">
        <f>IFERROR(__xludf.DUMMYFUNCTION("GOOGLETRANSLATE($I978, ""de"", ""en"")"),"NO SALARY DATA")</f>
        <v>NO SALARY DATA</v>
      </c>
      <c r="K978" s="7" t="s">
        <v>261</v>
      </c>
      <c r="L978" s="7" t="s">
        <v>278</v>
      </c>
      <c r="M978" s="7" t="s">
        <v>263</v>
      </c>
      <c r="N978" s="7" t="s">
        <v>260</v>
      </c>
      <c r="O978" s="7"/>
      <c r="P978" s="37"/>
      <c r="Q978" s="7"/>
    </row>
    <row r="979">
      <c r="A979" s="7">
        <v>974.0</v>
      </c>
      <c r="B979" s="7" t="s">
        <v>288</v>
      </c>
      <c r="C979" s="7" t="str">
        <f>IFERROR(__xludf.DUMMYFUNCTION("GOOGLETRANSLATE($B979, $A$2, $B$2)"),"2 days ago")</f>
        <v>2 days ago</v>
      </c>
      <c r="D979" s="7" t="s">
        <v>2055</v>
      </c>
      <c r="E979" s="7" t="s">
        <v>401</v>
      </c>
      <c r="F979" s="7" t="s">
        <v>2056</v>
      </c>
      <c r="G979" s="7" t="s">
        <v>260</v>
      </c>
      <c r="H979" s="7" t="s">
        <v>261</v>
      </c>
      <c r="I979" s="7" t="s">
        <v>261</v>
      </c>
      <c r="J979" s="7" t="str">
        <f>IFERROR(__xludf.DUMMYFUNCTION("GOOGLETRANSLATE($I979, ""de"", ""en"")"),"NO SALARY DATA")</f>
        <v>NO SALARY DATA</v>
      </c>
      <c r="K979" s="7" t="s">
        <v>261</v>
      </c>
      <c r="L979" s="7"/>
      <c r="M979" s="7" t="s">
        <v>263</v>
      </c>
      <c r="N979" s="7" t="s">
        <v>260</v>
      </c>
      <c r="O979" s="7"/>
      <c r="P979" s="37"/>
      <c r="Q979" s="7"/>
    </row>
    <row r="980">
      <c r="A980" s="7">
        <v>975.0</v>
      </c>
      <c r="B980" s="7" t="s">
        <v>324</v>
      </c>
      <c r="C980" s="7" t="str">
        <f>IFERROR(__xludf.DUMMYFUNCTION("GOOGLETRANSLATE($B980, $A$2, $B$2)"),"3 days ago")</f>
        <v>3 days ago</v>
      </c>
      <c r="D980" s="7" t="s">
        <v>1986</v>
      </c>
      <c r="E980" s="7" t="s">
        <v>352</v>
      </c>
      <c r="F980" s="7" t="s">
        <v>1987</v>
      </c>
      <c r="G980" s="7" t="s">
        <v>260</v>
      </c>
      <c r="H980" s="7" t="s">
        <v>261</v>
      </c>
      <c r="I980" s="7" t="s">
        <v>261</v>
      </c>
      <c r="J980" s="7" t="str">
        <f>IFERROR(__xludf.DUMMYFUNCTION("GOOGLETRANSLATE($I980, ""de"", ""en"")"),"NO SALARY DATA")</f>
        <v>NO SALARY DATA</v>
      </c>
      <c r="K980" s="7" t="s">
        <v>261</v>
      </c>
      <c r="L980" s="7" t="s">
        <v>419</v>
      </c>
      <c r="M980" s="7" t="s">
        <v>263</v>
      </c>
      <c r="N980" s="7" t="s">
        <v>260</v>
      </c>
      <c r="O980" s="7"/>
      <c r="P980" s="37"/>
      <c r="Q980" s="7"/>
    </row>
    <row r="981">
      <c r="A981" s="7">
        <v>976.0</v>
      </c>
      <c r="B981" s="7" t="s">
        <v>269</v>
      </c>
      <c r="C981" s="7" t="str">
        <f>IFERROR(__xludf.DUMMYFUNCTION("GOOGLETRANSLATE($B981, $A$2, $B$2)"),"5 days ago")</f>
        <v>5 days ago</v>
      </c>
      <c r="D981" s="7" t="s">
        <v>2057</v>
      </c>
      <c r="E981" s="7" t="s">
        <v>348</v>
      </c>
      <c r="F981" s="7" t="s">
        <v>2058</v>
      </c>
      <c r="G981" s="7" t="s">
        <v>260</v>
      </c>
      <c r="H981" s="7" t="s">
        <v>261</v>
      </c>
      <c r="I981" s="7" t="s">
        <v>261</v>
      </c>
      <c r="J981" s="7" t="str">
        <f>IFERROR(__xludf.DUMMYFUNCTION("GOOGLETRANSLATE($I981, ""de"", ""en"")"),"NO SALARY DATA")</f>
        <v>NO SALARY DATA</v>
      </c>
      <c r="K981" s="7" t="s">
        <v>261</v>
      </c>
      <c r="L981" s="7" t="s">
        <v>1512</v>
      </c>
      <c r="M981" s="7" t="s">
        <v>452</v>
      </c>
      <c r="N981" s="7" t="s">
        <v>260</v>
      </c>
      <c r="O981" s="7"/>
      <c r="P981" s="37"/>
      <c r="Q981" s="7"/>
    </row>
    <row r="982">
      <c r="A982" s="7">
        <v>977.0</v>
      </c>
      <c r="B982" s="7" t="s">
        <v>371</v>
      </c>
      <c r="C982" s="7" t="str">
        <f>IFERROR(__xludf.DUMMYFUNCTION("GOOGLETRANSLATE($B982, $A$2, $B$2)"),"Straight")</f>
        <v>Straight</v>
      </c>
      <c r="D982" s="7" t="s">
        <v>2059</v>
      </c>
      <c r="E982" s="7" t="s">
        <v>348</v>
      </c>
      <c r="F982" s="7" t="s">
        <v>2060</v>
      </c>
      <c r="G982" s="7" t="s">
        <v>260</v>
      </c>
      <c r="H982" s="7" t="s">
        <v>261</v>
      </c>
      <c r="I982" s="7" t="s">
        <v>261</v>
      </c>
      <c r="J982" s="7" t="str">
        <f>IFERROR(__xludf.DUMMYFUNCTION("GOOGLETRANSLATE($I982, ""de"", ""en"")"),"NO SALARY DATA")</f>
        <v>NO SALARY DATA</v>
      </c>
      <c r="K982" s="7" t="s">
        <v>261</v>
      </c>
      <c r="L982" s="7"/>
      <c r="M982" s="7" t="s">
        <v>263</v>
      </c>
      <c r="N982" s="7" t="s">
        <v>260</v>
      </c>
      <c r="O982" s="7"/>
      <c r="P982" s="37"/>
      <c r="Q982" s="7"/>
    </row>
    <row r="983">
      <c r="A983" s="7">
        <v>978.0</v>
      </c>
      <c r="B983" s="7" t="s">
        <v>637</v>
      </c>
      <c r="C983" s="7" t="str">
        <f>IFERROR(__xludf.DUMMYFUNCTION("GOOGLETRANSLATE($B983, $A$2, $B$2)"),"17 days ago")</f>
        <v>17 days ago</v>
      </c>
      <c r="D983" s="7" t="s">
        <v>2061</v>
      </c>
      <c r="E983" s="7" t="s">
        <v>258</v>
      </c>
      <c r="F983" s="7" t="s">
        <v>2062</v>
      </c>
      <c r="G983" s="7" t="s">
        <v>2063</v>
      </c>
      <c r="H983" s="7">
        <v>80000.0</v>
      </c>
      <c r="I983" s="7" t="s">
        <v>384</v>
      </c>
      <c r="J983" s="7" t="str">
        <f>IFERROR(__xludf.DUMMYFUNCTION("GOOGLETRANSLATE($I983, ""de"", ""en"")"),"year")</f>
        <v>year</v>
      </c>
      <c r="K983" s="7">
        <v>80000.0</v>
      </c>
      <c r="L983" s="7" t="s">
        <v>321</v>
      </c>
      <c r="M983" s="7" t="s">
        <v>263</v>
      </c>
      <c r="N983" s="7" t="s">
        <v>260</v>
      </c>
      <c r="O983" s="7"/>
      <c r="P983" s="37"/>
      <c r="Q983" s="7"/>
    </row>
    <row r="984">
      <c r="A984" s="7">
        <v>979.0</v>
      </c>
      <c r="B984" s="7" t="s">
        <v>379</v>
      </c>
      <c r="C984" s="7" t="str">
        <f>IFERROR(__xludf.DUMMYFUNCTION("GOOGLETRANSLATE($B984, $A$2, $B$2)"),"13 days ago")</f>
        <v>13 days ago</v>
      </c>
      <c r="D984" s="7" t="s">
        <v>2008</v>
      </c>
      <c r="E984" s="7" t="s">
        <v>258</v>
      </c>
      <c r="F984" s="7" t="s">
        <v>2009</v>
      </c>
      <c r="G984" s="7" t="s">
        <v>260</v>
      </c>
      <c r="H984" s="7" t="s">
        <v>261</v>
      </c>
      <c r="I984" s="7" t="s">
        <v>261</v>
      </c>
      <c r="J984" s="7" t="str">
        <f>IFERROR(__xludf.DUMMYFUNCTION("GOOGLETRANSLATE($I984, ""de"", ""en"")"),"NO SALARY DATA")</f>
        <v>NO SALARY DATA</v>
      </c>
      <c r="K984" s="7" t="s">
        <v>261</v>
      </c>
      <c r="L984" s="7" t="s">
        <v>282</v>
      </c>
      <c r="M984" s="7" t="s">
        <v>673</v>
      </c>
      <c r="N984" s="7" t="s">
        <v>260</v>
      </c>
      <c r="O984" s="7"/>
      <c r="P984" s="37"/>
      <c r="Q984" s="7"/>
    </row>
    <row r="985">
      <c r="A985" s="7">
        <v>980.0</v>
      </c>
      <c r="B985" s="7" t="s">
        <v>302</v>
      </c>
      <c r="C985" s="7" t="str">
        <f>IFERROR(__xludf.DUMMYFUNCTION("GOOGLETRANSLATE($B985, $A$2, $B$2)"),"today")</f>
        <v>today</v>
      </c>
      <c r="D985" s="7" t="s">
        <v>2064</v>
      </c>
      <c r="E985" s="7" t="s">
        <v>2065</v>
      </c>
      <c r="F985" s="7" t="s">
        <v>2066</v>
      </c>
      <c r="G985" s="7" t="s">
        <v>260</v>
      </c>
      <c r="H985" s="7" t="s">
        <v>261</v>
      </c>
      <c r="I985" s="7" t="s">
        <v>261</v>
      </c>
      <c r="J985" s="7" t="str">
        <f>IFERROR(__xludf.DUMMYFUNCTION("GOOGLETRANSLATE($I985, ""de"", ""en"")"),"NO SALARY DATA")</f>
        <v>NO SALARY DATA</v>
      </c>
      <c r="K985" s="7" t="s">
        <v>261</v>
      </c>
      <c r="L985" s="7"/>
      <c r="M985" s="7" t="s">
        <v>263</v>
      </c>
      <c r="N985" s="7" t="s">
        <v>260</v>
      </c>
      <c r="O985" s="7"/>
      <c r="P985" s="37"/>
      <c r="Q985" s="7"/>
    </row>
    <row r="986">
      <c r="A986" s="7">
        <v>981.0</v>
      </c>
      <c r="B986" s="7" t="s">
        <v>392</v>
      </c>
      <c r="C986" s="7" t="str">
        <f>IFERROR(__xludf.DUMMYFUNCTION("GOOGLETRANSLATE($B986, $A$2, $B$2)"),"10 days ago")</f>
        <v>10 days ago</v>
      </c>
      <c r="D986" s="7" t="s">
        <v>2026</v>
      </c>
      <c r="E986" s="7" t="s">
        <v>1944</v>
      </c>
      <c r="F986" s="7" t="s">
        <v>1945</v>
      </c>
      <c r="G986" s="7" t="s">
        <v>260</v>
      </c>
      <c r="H986" s="7" t="s">
        <v>261</v>
      </c>
      <c r="I986" s="7" t="s">
        <v>261</v>
      </c>
      <c r="J986" s="7" t="str">
        <f>IFERROR(__xludf.DUMMYFUNCTION("GOOGLETRANSLATE($I986, ""de"", ""en"")"),"NO SALARY DATA")</f>
        <v>NO SALARY DATA</v>
      </c>
      <c r="K986" s="7" t="s">
        <v>261</v>
      </c>
      <c r="L986" s="7" t="s">
        <v>423</v>
      </c>
      <c r="M986" s="7" t="s">
        <v>263</v>
      </c>
      <c r="N986" s="7" t="s">
        <v>260</v>
      </c>
      <c r="O986" s="7"/>
      <c r="P986" s="37"/>
      <c r="Q986" s="7"/>
    </row>
    <row r="987">
      <c r="A987" s="7">
        <v>982.0</v>
      </c>
      <c r="B987" s="7" t="s">
        <v>256</v>
      </c>
      <c r="C987" s="7" t="str">
        <f>IFERROR(__xludf.DUMMYFUNCTION("GOOGLETRANSLATE($B987, $A$2, $B$2)"),"7 days ago")</f>
        <v>7 days ago</v>
      </c>
      <c r="D987" s="7" t="s">
        <v>2067</v>
      </c>
      <c r="E987" s="7" t="s">
        <v>271</v>
      </c>
      <c r="F987" s="7" t="s">
        <v>1915</v>
      </c>
      <c r="G987" s="7" t="s">
        <v>2068</v>
      </c>
      <c r="H987" s="7">
        <v>75000.0</v>
      </c>
      <c r="I987" s="7" t="s">
        <v>384</v>
      </c>
      <c r="J987" s="7" t="str">
        <f>IFERROR(__xludf.DUMMYFUNCTION("GOOGLETRANSLATE($I987, ""de"", ""en"")"),"year")</f>
        <v>year</v>
      </c>
      <c r="K987" s="7">
        <v>75000.0</v>
      </c>
      <c r="L987" s="7" t="s">
        <v>423</v>
      </c>
      <c r="M987" s="7" t="s">
        <v>452</v>
      </c>
      <c r="N987" s="7" t="s">
        <v>260</v>
      </c>
      <c r="O987" s="7"/>
      <c r="P987" s="37"/>
      <c r="Q987" s="7"/>
    </row>
    <row r="988">
      <c r="A988" s="7">
        <v>983.0</v>
      </c>
      <c r="B988" s="7" t="s">
        <v>324</v>
      </c>
      <c r="C988" s="7" t="str">
        <f>IFERROR(__xludf.DUMMYFUNCTION("GOOGLETRANSLATE($B988, $A$2, $B$2)"),"3 days ago")</f>
        <v>3 days ago</v>
      </c>
      <c r="D988" s="7" t="s">
        <v>2069</v>
      </c>
      <c r="E988" s="7" t="s">
        <v>2070</v>
      </c>
      <c r="F988" s="7" t="s">
        <v>2071</v>
      </c>
      <c r="G988" s="7" t="s">
        <v>2072</v>
      </c>
      <c r="H988" s="7">
        <v>80000.0</v>
      </c>
      <c r="I988" s="7" t="s">
        <v>384</v>
      </c>
      <c r="J988" s="7" t="str">
        <f>IFERROR(__xludf.DUMMYFUNCTION("GOOGLETRANSLATE($I988, ""de"", ""en"")"),"year")</f>
        <v>year</v>
      </c>
      <c r="K988" s="7">
        <v>80000.0</v>
      </c>
      <c r="L988" s="7" t="s">
        <v>777</v>
      </c>
      <c r="M988" s="7" t="s">
        <v>274</v>
      </c>
      <c r="N988" s="7" t="s">
        <v>260</v>
      </c>
      <c r="O988" s="7"/>
      <c r="P988" s="37"/>
      <c r="Q988" s="7"/>
    </row>
    <row r="989">
      <c r="A989" s="7">
        <v>984.0</v>
      </c>
      <c r="B989" s="7" t="s">
        <v>265</v>
      </c>
      <c r="C989" s="7" t="str">
        <f>IFERROR(__xludf.DUMMYFUNCTION("GOOGLETRANSLATE($B989, $A$2, $B$2)"),"More than 30 days ago")</f>
        <v>More than 30 days ago</v>
      </c>
      <c r="D989" s="7" t="s">
        <v>2048</v>
      </c>
      <c r="E989" s="7" t="s">
        <v>348</v>
      </c>
      <c r="F989" s="7" t="s">
        <v>2049</v>
      </c>
      <c r="G989" s="7" t="s">
        <v>260</v>
      </c>
      <c r="H989" s="7" t="s">
        <v>261</v>
      </c>
      <c r="I989" s="7" t="s">
        <v>261</v>
      </c>
      <c r="J989" s="7" t="str">
        <f>IFERROR(__xludf.DUMMYFUNCTION("GOOGLETRANSLATE($I989, ""de"", ""en"")"),"NO SALARY DATA")</f>
        <v>NO SALARY DATA</v>
      </c>
      <c r="K989" s="7" t="s">
        <v>261</v>
      </c>
      <c r="L989" s="7"/>
      <c r="M989" s="7" t="s">
        <v>263</v>
      </c>
      <c r="N989" s="7" t="s">
        <v>260</v>
      </c>
      <c r="O989" s="7"/>
      <c r="P989" s="35"/>
      <c r="Q989" s="7"/>
    </row>
    <row r="990">
      <c r="A990" s="7">
        <v>985.0</v>
      </c>
      <c r="B990" s="7" t="s">
        <v>346</v>
      </c>
      <c r="C990" s="7" t="str">
        <f>IFERROR(__xludf.DUMMYFUNCTION("GOOGLETRANSLATE($B990, $A$2, $B$2)"),"12 days ago")</f>
        <v>12 days ago</v>
      </c>
      <c r="D990" s="7" t="s">
        <v>700</v>
      </c>
      <c r="E990" s="7" t="s">
        <v>539</v>
      </c>
      <c r="F990" s="7" t="s">
        <v>1977</v>
      </c>
      <c r="G990" s="7" t="s">
        <v>260</v>
      </c>
      <c r="H990" s="7" t="s">
        <v>261</v>
      </c>
      <c r="I990" s="7" t="s">
        <v>261</v>
      </c>
      <c r="J990" s="7" t="str">
        <f>IFERROR(__xludf.DUMMYFUNCTION("GOOGLETRANSLATE($I990, ""de"", ""en"")"),"NO SALARY DATA")</f>
        <v>NO SALARY DATA</v>
      </c>
      <c r="K990" s="7" t="s">
        <v>261</v>
      </c>
      <c r="L990" s="7" t="s">
        <v>312</v>
      </c>
      <c r="M990" s="7" t="s">
        <v>263</v>
      </c>
      <c r="N990" s="7" t="s">
        <v>331</v>
      </c>
      <c r="O990" s="7"/>
      <c r="P990" s="37"/>
      <c r="Q990" s="7"/>
    </row>
    <row r="991">
      <c r="A991" s="7">
        <v>986.0</v>
      </c>
      <c r="B991" s="7" t="s">
        <v>265</v>
      </c>
      <c r="C991" s="7" t="str">
        <f>IFERROR(__xludf.DUMMYFUNCTION("GOOGLETRANSLATE($B991, $A$2, $B$2)"),"More than 30 days ago")</f>
        <v>More than 30 days ago</v>
      </c>
      <c r="D991" s="7" t="s">
        <v>2073</v>
      </c>
      <c r="E991" s="7" t="s">
        <v>348</v>
      </c>
      <c r="F991" s="7" t="s">
        <v>2074</v>
      </c>
      <c r="G991" s="7" t="s">
        <v>870</v>
      </c>
      <c r="H991" s="7">
        <v>60000.0</v>
      </c>
      <c r="I991" s="7" t="s">
        <v>384</v>
      </c>
      <c r="J991" s="7" t="str">
        <f>IFERROR(__xludf.DUMMYFUNCTION("GOOGLETRANSLATE($I991, ""de"", ""en"")"),"year")</f>
        <v>year</v>
      </c>
      <c r="K991" s="7">
        <v>60000.0</v>
      </c>
      <c r="L991" s="7" t="s">
        <v>777</v>
      </c>
      <c r="M991" s="7" t="s">
        <v>673</v>
      </c>
      <c r="N991" s="7" t="s">
        <v>260</v>
      </c>
      <c r="O991" s="7"/>
      <c r="P991" s="37"/>
      <c r="Q991" s="7"/>
    </row>
    <row r="992">
      <c r="A992" s="7">
        <v>987.0</v>
      </c>
      <c r="B992" s="7" t="s">
        <v>392</v>
      </c>
      <c r="C992" s="7" t="str">
        <f>IFERROR(__xludf.DUMMYFUNCTION("GOOGLETRANSLATE($B992, $A$2, $B$2)"),"10 days ago")</f>
        <v>10 days ago</v>
      </c>
      <c r="D992" s="7" t="s">
        <v>2007</v>
      </c>
      <c r="E992" s="7" t="s">
        <v>408</v>
      </c>
      <c r="F992" s="7" t="s">
        <v>1711</v>
      </c>
      <c r="G992" s="7" t="s">
        <v>260</v>
      </c>
      <c r="H992" s="7" t="s">
        <v>261</v>
      </c>
      <c r="I992" s="7" t="s">
        <v>261</v>
      </c>
      <c r="J992" s="7" t="str">
        <f>IFERROR(__xludf.DUMMYFUNCTION("GOOGLETRANSLATE($I992, ""de"", ""en"")"),"NO SALARY DATA")</f>
        <v>NO SALARY DATA</v>
      </c>
      <c r="K992" s="7" t="s">
        <v>261</v>
      </c>
      <c r="L992" s="7" t="s">
        <v>305</v>
      </c>
      <c r="M992" s="7" t="s">
        <v>263</v>
      </c>
      <c r="N992" s="7" t="s">
        <v>260</v>
      </c>
      <c r="O992" s="7"/>
      <c r="P992" s="37"/>
      <c r="Q992" s="7"/>
    </row>
    <row r="993">
      <c r="A993" s="7">
        <v>988.0</v>
      </c>
      <c r="B993" s="7" t="s">
        <v>265</v>
      </c>
      <c r="C993" s="7" t="str">
        <f>IFERROR(__xludf.DUMMYFUNCTION("GOOGLETRANSLATE($B993, $A$2, $B$2)"),"More than 30 days ago")</f>
        <v>More than 30 days ago</v>
      </c>
      <c r="D993" s="7" t="s">
        <v>2046</v>
      </c>
      <c r="E993" s="7" t="s">
        <v>258</v>
      </c>
      <c r="F993" s="7" t="s">
        <v>2047</v>
      </c>
      <c r="G993" s="7" t="s">
        <v>260</v>
      </c>
      <c r="H993" s="7" t="s">
        <v>261</v>
      </c>
      <c r="I993" s="7" t="s">
        <v>261</v>
      </c>
      <c r="J993" s="7" t="str">
        <f>IFERROR(__xludf.DUMMYFUNCTION("GOOGLETRANSLATE($I993, ""de"", ""en"")"),"NO SALARY DATA")</f>
        <v>NO SALARY DATA</v>
      </c>
      <c r="K993" s="7" t="s">
        <v>261</v>
      </c>
      <c r="L993" s="7" t="s">
        <v>345</v>
      </c>
      <c r="M993" s="7" t="s">
        <v>274</v>
      </c>
      <c r="N993" s="7" t="s">
        <v>260</v>
      </c>
      <c r="O993" s="7"/>
      <c r="P993" s="37"/>
      <c r="Q993" s="7"/>
    </row>
    <row r="994">
      <c r="A994" s="7">
        <v>989.0</v>
      </c>
      <c r="B994" s="7" t="s">
        <v>265</v>
      </c>
      <c r="C994" s="7" t="str">
        <f>IFERROR(__xludf.DUMMYFUNCTION("GOOGLETRANSLATE($B994, $A$2, $B$2)"),"More than 30 days ago")</f>
        <v>More than 30 days ago</v>
      </c>
      <c r="D994" s="7" t="s">
        <v>2036</v>
      </c>
      <c r="E994" s="7" t="s">
        <v>307</v>
      </c>
      <c r="F994" s="7" t="s">
        <v>2037</v>
      </c>
      <c r="G994" s="7" t="s">
        <v>260</v>
      </c>
      <c r="H994" s="7" t="s">
        <v>261</v>
      </c>
      <c r="I994" s="7" t="s">
        <v>261</v>
      </c>
      <c r="J994" s="7" t="str">
        <f>IFERROR(__xludf.DUMMYFUNCTION("GOOGLETRANSLATE($I994, ""de"", ""en"")"),"NO SALARY DATA")</f>
        <v>NO SALARY DATA</v>
      </c>
      <c r="K994" s="7" t="s">
        <v>261</v>
      </c>
      <c r="L994" s="7"/>
      <c r="M994" s="7" t="s">
        <v>263</v>
      </c>
      <c r="N994" s="7" t="s">
        <v>260</v>
      </c>
      <c r="O994" s="7"/>
      <c r="P994" s="37"/>
      <c r="Q994" s="7"/>
    </row>
    <row r="995">
      <c r="A995" s="7">
        <v>990.0</v>
      </c>
      <c r="B995" s="7" t="s">
        <v>375</v>
      </c>
      <c r="C995" s="7" t="str">
        <f>IFERROR(__xludf.DUMMYFUNCTION("GOOGLETRANSLATE($B995, $A$2, $B$2)"),"6 days ago")</f>
        <v>6 days ago</v>
      </c>
      <c r="D995" s="7" t="s">
        <v>2075</v>
      </c>
      <c r="E995" s="7" t="s">
        <v>2076</v>
      </c>
      <c r="F995" s="7" t="s">
        <v>2077</v>
      </c>
      <c r="G995" s="7" t="s">
        <v>260</v>
      </c>
      <c r="H995" s="7" t="s">
        <v>261</v>
      </c>
      <c r="I995" s="7" t="s">
        <v>261</v>
      </c>
      <c r="J995" s="7" t="str">
        <f>IFERROR(__xludf.DUMMYFUNCTION("GOOGLETRANSLATE($I995, ""de"", ""en"")"),"NO SALARY DATA")</f>
        <v>NO SALARY DATA</v>
      </c>
      <c r="K995" s="7" t="s">
        <v>261</v>
      </c>
      <c r="L995" s="7" t="s">
        <v>666</v>
      </c>
      <c r="M995" s="7" t="s">
        <v>274</v>
      </c>
      <c r="N995" s="7" t="s">
        <v>260</v>
      </c>
      <c r="O995" s="7"/>
      <c r="P995" s="37"/>
      <c r="Q995" s="7"/>
    </row>
    <row r="996">
      <c r="A996" s="7">
        <v>991.0</v>
      </c>
      <c r="B996" s="7" t="s">
        <v>265</v>
      </c>
      <c r="C996" s="7" t="str">
        <f>IFERROR(__xludf.DUMMYFUNCTION("GOOGLETRANSLATE($B996, $A$2, $B$2)"),"More than 30 days ago")</f>
        <v>More than 30 days ago</v>
      </c>
      <c r="D996" s="7" t="s">
        <v>2073</v>
      </c>
      <c r="E996" s="7" t="s">
        <v>348</v>
      </c>
      <c r="F996" s="7" t="s">
        <v>2074</v>
      </c>
      <c r="G996" s="7" t="s">
        <v>870</v>
      </c>
      <c r="H996" s="7">
        <v>60000.0</v>
      </c>
      <c r="I996" s="7" t="s">
        <v>384</v>
      </c>
      <c r="J996" s="7" t="str">
        <f>IFERROR(__xludf.DUMMYFUNCTION("GOOGLETRANSLATE($I996, ""de"", ""en"")"),"year")</f>
        <v>year</v>
      </c>
      <c r="K996" s="7">
        <v>60000.0</v>
      </c>
      <c r="L996" s="7" t="s">
        <v>777</v>
      </c>
      <c r="M996" s="7" t="s">
        <v>673</v>
      </c>
      <c r="N996" s="7" t="s">
        <v>260</v>
      </c>
      <c r="O996" s="7"/>
      <c r="P996" s="37"/>
      <c r="Q996" s="7"/>
    </row>
    <row r="997">
      <c r="A997" s="7">
        <v>992.0</v>
      </c>
      <c r="B997" s="7" t="s">
        <v>395</v>
      </c>
      <c r="C997" s="7" t="str">
        <f>IFERROR(__xludf.DUMMYFUNCTION("GOOGLETRANSLATE($B997, $A$2, $B$2)"),"21 days ago")</f>
        <v>21 days ago</v>
      </c>
      <c r="D997" s="7" t="s">
        <v>2078</v>
      </c>
      <c r="E997" s="7" t="s">
        <v>343</v>
      </c>
      <c r="F997" s="7" t="s">
        <v>2062</v>
      </c>
      <c r="G997" s="7" t="s">
        <v>2079</v>
      </c>
      <c r="H997" s="7">
        <v>72500.0</v>
      </c>
      <c r="I997" s="7" t="s">
        <v>384</v>
      </c>
      <c r="J997" s="7" t="str">
        <f>IFERROR(__xludf.DUMMYFUNCTION("GOOGLETRANSLATE($I997, ""de"", ""en"")"),"year")</f>
        <v>year</v>
      </c>
      <c r="K997" s="7">
        <v>72500.0</v>
      </c>
      <c r="L997" s="7" t="s">
        <v>2080</v>
      </c>
      <c r="M997" s="7" t="s">
        <v>263</v>
      </c>
      <c r="N997" s="7" t="s">
        <v>260</v>
      </c>
      <c r="O997" s="7"/>
      <c r="P997" s="35"/>
      <c r="Q997" s="7"/>
    </row>
    <row r="998">
      <c r="A998" s="7">
        <v>993.0</v>
      </c>
      <c r="B998" s="7" t="s">
        <v>332</v>
      </c>
      <c r="C998" s="7" t="str">
        <f>IFERROR(__xludf.DUMMYFUNCTION("GOOGLETRANSLATE($B998, $A$2, $B$2)"),"4 days ago")</f>
        <v>4 days ago</v>
      </c>
      <c r="D998" s="7" t="s">
        <v>2081</v>
      </c>
      <c r="E998" s="7" t="s">
        <v>271</v>
      </c>
      <c r="F998" s="7" t="s">
        <v>2082</v>
      </c>
      <c r="G998" s="7" t="s">
        <v>260</v>
      </c>
      <c r="H998" s="7" t="s">
        <v>261</v>
      </c>
      <c r="I998" s="7" t="s">
        <v>261</v>
      </c>
      <c r="J998" s="7" t="str">
        <f>IFERROR(__xludf.DUMMYFUNCTION("GOOGLETRANSLATE($I998, ""de"", ""en"")"),"NO SALARY DATA")</f>
        <v>NO SALARY DATA</v>
      </c>
      <c r="K998" s="7" t="s">
        <v>261</v>
      </c>
      <c r="L998" s="7" t="s">
        <v>777</v>
      </c>
      <c r="M998" s="7" t="s">
        <v>263</v>
      </c>
      <c r="N998" s="7" t="s">
        <v>331</v>
      </c>
      <c r="O998" s="7"/>
      <c r="P998" s="35"/>
      <c r="Q998" s="7"/>
    </row>
    <row r="999">
      <c r="A999" s="7">
        <v>994.0</v>
      </c>
      <c r="B999" s="7" t="s">
        <v>302</v>
      </c>
      <c r="C999" s="7" t="str">
        <f>IFERROR(__xludf.DUMMYFUNCTION("GOOGLETRANSLATE($B999, $A$2, $B$2)"),"today")</f>
        <v>today</v>
      </c>
      <c r="D999" s="7" t="s">
        <v>2083</v>
      </c>
      <c r="E999" s="7" t="s">
        <v>539</v>
      </c>
      <c r="F999" s="7" t="s">
        <v>2003</v>
      </c>
      <c r="G999" s="7" t="s">
        <v>260</v>
      </c>
      <c r="H999" s="7" t="s">
        <v>261</v>
      </c>
      <c r="I999" s="7" t="s">
        <v>261</v>
      </c>
      <c r="J999" s="7" t="str">
        <f>IFERROR(__xludf.DUMMYFUNCTION("GOOGLETRANSLATE($I999, ""de"", ""en"")"),"NO SALARY DATA")</f>
        <v>NO SALARY DATA</v>
      </c>
      <c r="K999" s="7" t="s">
        <v>261</v>
      </c>
      <c r="L999" s="7" t="s">
        <v>2084</v>
      </c>
      <c r="M999" s="7" t="s">
        <v>263</v>
      </c>
      <c r="N999" s="7" t="s">
        <v>275</v>
      </c>
      <c r="O999" s="7"/>
      <c r="P999" s="35"/>
      <c r="Q999" s="7"/>
    </row>
    <row r="1000">
      <c r="A1000" s="7">
        <v>995.0</v>
      </c>
      <c r="B1000" s="7" t="s">
        <v>2027</v>
      </c>
      <c r="C1000" s="7" t="str">
        <f>IFERROR(__xludf.DUMMYFUNCTION("GOOGLETRANSLATE($B1000, $A$2, $B$2)"),"22 days ago")</f>
        <v>22 days ago</v>
      </c>
      <c r="D1000" s="7" t="s">
        <v>2085</v>
      </c>
      <c r="E1000" s="7" t="s">
        <v>401</v>
      </c>
      <c r="F1000" s="7" t="s">
        <v>2086</v>
      </c>
      <c r="G1000" s="7" t="s">
        <v>260</v>
      </c>
      <c r="H1000" s="7" t="s">
        <v>261</v>
      </c>
      <c r="I1000" s="7" t="s">
        <v>261</v>
      </c>
      <c r="J1000" s="7" t="str">
        <f>IFERROR(__xludf.DUMMYFUNCTION("GOOGLETRANSLATE($I1000, ""de"", ""en"")"),"NO SALARY DATA")</f>
        <v>NO SALARY DATA</v>
      </c>
      <c r="K1000" s="7" t="s">
        <v>261</v>
      </c>
      <c r="L1000" s="7"/>
      <c r="M1000" s="7" t="s">
        <v>263</v>
      </c>
      <c r="N1000" s="7" t="s">
        <v>336</v>
      </c>
      <c r="O1000" s="7"/>
      <c r="P1000" s="35"/>
      <c r="Q1000" s="7"/>
    </row>
    <row r="1001">
      <c r="A1001" s="7">
        <v>996.0</v>
      </c>
      <c r="B1001" s="7" t="s">
        <v>2087</v>
      </c>
      <c r="C1001" s="7" t="str">
        <f>IFERROR(__xludf.DUMMYFUNCTION("GOOGLETRANSLATE($B1001, $A$2, $B$2)"),"29 days ago")</f>
        <v>29 days ago</v>
      </c>
      <c r="D1001" s="7" t="s">
        <v>2088</v>
      </c>
      <c r="E1001" s="7" t="s">
        <v>348</v>
      </c>
      <c r="F1001" s="7" t="s">
        <v>2089</v>
      </c>
      <c r="G1001" s="7" t="s">
        <v>260</v>
      </c>
      <c r="H1001" s="7" t="s">
        <v>261</v>
      </c>
      <c r="I1001" s="7" t="s">
        <v>261</v>
      </c>
      <c r="J1001" s="7" t="str">
        <f>IFERROR(__xludf.DUMMYFUNCTION("GOOGLETRANSLATE($I1001, ""de"", ""en"")"),"NO SALARY DATA")</f>
        <v>NO SALARY DATA</v>
      </c>
      <c r="K1001" s="7" t="s">
        <v>261</v>
      </c>
      <c r="L1001" s="7" t="s">
        <v>286</v>
      </c>
      <c r="M1001" s="7" t="s">
        <v>263</v>
      </c>
      <c r="N1001" s="7" t="s">
        <v>323</v>
      </c>
      <c r="O1001" s="7"/>
      <c r="P1001" s="37"/>
      <c r="Q1001" s="7"/>
    </row>
    <row r="1002">
      <c r="A1002" s="7">
        <v>997.0</v>
      </c>
      <c r="B1002" s="7" t="s">
        <v>288</v>
      </c>
      <c r="C1002" s="7" t="str">
        <f>IFERROR(__xludf.DUMMYFUNCTION("GOOGLETRANSLATE($B1002, $A$2, $B$2)"),"2 days ago")</f>
        <v>2 days ago</v>
      </c>
      <c r="D1002" s="7" t="s">
        <v>2090</v>
      </c>
      <c r="E1002" s="7" t="s">
        <v>401</v>
      </c>
      <c r="F1002" s="7" t="s">
        <v>2056</v>
      </c>
      <c r="G1002" s="7" t="s">
        <v>260</v>
      </c>
      <c r="H1002" s="7" t="s">
        <v>261</v>
      </c>
      <c r="I1002" s="7" t="s">
        <v>261</v>
      </c>
      <c r="J1002" s="7" t="str">
        <f>IFERROR(__xludf.DUMMYFUNCTION("GOOGLETRANSLATE($I1002, ""de"", ""en"")"),"NO SALARY DATA")</f>
        <v>NO SALARY DATA</v>
      </c>
      <c r="K1002" s="7" t="s">
        <v>261</v>
      </c>
      <c r="L1002" s="7" t="s">
        <v>286</v>
      </c>
      <c r="M1002" s="7" t="s">
        <v>263</v>
      </c>
      <c r="N1002" s="7" t="s">
        <v>260</v>
      </c>
      <c r="O1002" s="7"/>
      <c r="P1002" s="35"/>
      <c r="Q1002" s="7"/>
    </row>
    <row r="1003">
      <c r="A1003" s="7">
        <v>998.0</v>
      </c>
      <c r="B1003" s="7" t="s">
        <v>265</v>
      </c>
      <c r="C1003" s="7" t="str">
        <f>IFERROR(__xludf.DUMMYFUNCTION("GOOGLETRANSLATE($B1003, $A$2, $B$2)"),"More than 30 days ago")</f>
        <v>More than 30 days ago</v>
      </c>
      <c r="D1003" s="7" t="s">
        <v>2085</v>
      </c>
      <c r="E1003" s="7" t="s">
        <v>280</v>
      </c>
      <c r="F1003" s="7" t="s">
        <v>2086</v>
      </c>
      <c r="G1003" s="7" t="s">
        <v>260</v>
      </c>
      <c r="H1003" s="7" t="s">
        <v>261</v>
      </c>
      <c r="I1003" s="7" t="s">
        <v>261</v>
      </c>
      <c r="J1003" s="7" t="str">
        <f>IFERROR(__xludf.DUMMYFUNCTION("GOOGLETRANSLATE($I1003, ""de"", ""en"")"),"NO SALARY DATA")</f>
        <v>NO SALARY DATA</v>
      </c>
      <c r="K1003" s="7" t="s">
        <v>261</v>
      </c>
      <c r="L1003" s="7"/>
      <c r="M1003" s="7" t="s">
        <v>263</v>
      </c>
      <c r="N1003" s="7" t="s">
        <v>336</v>
      </c>
      <c r="O1003" s="7"/>
      <c r="P1003" s="35"/>
      <c r="Q1003" s="7"/>
    </row>
    <row r="1004">
      <c r="A1004" s="7">
        <v>999.0</v>
      </c>
      <c r="B1004" s="7" t="s">
        <v>265</v>
      </c>
      <c r="C1004" s="7" t="str">
        <f>IFERROR(__xludf.DUMMYFUNCTION("GOOGLETRANSLATE($B1004, $A$2, $B$2)"),"More than 30 days ago")</f>
        <v>More than 30 days ago</v>
      </c>
      <c r="D1004" s="7" t="s">
        <v>2091</v>
      </c>
      <c r="E1004" s="7" t="s">
        <v>1591</v>
      </c>
      <c r="F1004" s="7" t="s">
        <v>1592</v>
      </c>
      <c r="G1004" s="7" t="s">
        <v>260</v>
      </c>
      <c r="H1004" s="7" t="s">
        <v>261</v>
      </c>
      <c r="I1004" s="7" t="s">
        <v>261</v>
      </c>
      <c r="J1004" s="7" t="str">
        <f>IFERROR(__xludf.DUMMYFUNCTION("GOOGLETRANSLATE($I1004, ""de"", ""en"")"),"NO SALARY DATA")</f>
        <v>NO SALARY DATA</v>
      </c>
      <c r="K1004" s="7" t="s">
        <v>261</v>
      </c>
      <c r="L1004" s="7"/>
      <c r="M1004" s="7" t="s">
        <v>263</v>
      </c>
      <c r="N1004" s="7" t="s">
        <v>331</v>
      </c>
      <c r="O1004" s="7"/>
      <c r="P1004" s="35"/>
      <c r="Q1004" s="7"/>
    </row>
    <row r="1005">
      <c r="A1005" s="7">
        <v>1000.0</v>
      </c>
      <c r="B1005" s="7" t="s">
        <v>2092</v>
      </c>
      <c r="C1005" s="7" t="str">
        <f>IFERROR(__xludf.DUMMYFUNCTION("GOOGLETRANSLATE($B1005, $A$2, $B$2)"),"8 days ago")</f>
        <v>8 days ago</v>
      </c>
      <c r="D1005" s="7" t="s">
        <v>2093</v>
      </c>
      <c r="E1005" s="7" t="s">
        <v>539</v>
      </c>
      <c r="F1005" s="7" t="s">
        <v>1977</v>
      </c>
      <c r="G1005" s="7" t="s">
        <v>260</v>
      </c>
      <c r="H1005" s="7" t="s">
        <v>261</v>
      </c>
      <c r="I1005" s="7" t="s">
        <v>261</v>
      </c>
      <c r="J1005" s="7" t="str">
        <f>IFERROR(__xludf.DUMMYFUNCTION("GOOGLETRANSLATE($I1005, ""de"", ""en"")"),"NO SALARY DATA")</f>
        <v>NO SALARY DATA</v>
      </c>
      <c r="K1005" s="7" t="s">
        <v>261</v>
      </c>
      <c r="L1005" s="7" t="s">
        <v>455</v>
      </c>
      <c r="M1005" s="7" t="s">
        <v>263</v>
      </c>
      <c r="N1005" s="7" t="s">
        <v>331</v>
      </c>
      <c r="O1005" s="7"/>
      <c r="P1005" s="37"/>
      <c r="Q1005" s="7"/>
    </row>
    <row r="1006">
      <c r="A1006" s="7">
        <v>1001.0</v>
      </c>
      <c r="B1006" s="7" t="s">
        <v>375</v>
      </c>
      <c r="C1006" s="7" t="str">
        <f>IFERROR(__xludf.DUMMYFUNCTION("GOOGLETRANSLATE($B1006, $A$2, $B$2)"),"6 days ago")</f>
        <v>6 days ago</v>
      </c>
      <c r="D1006" s="7" t="s">
        <v>2094</v>
      </c>
      <c r="E1006" s="7" t="s">
        <v>258</v>
      </c>
      <c r="F1006" s="7" t="s">
        <v>2095</v>
      </c>
      <c r="G1006" s="7" t="s">
        <v>1925</v>
      </c>
      <c r="H1006" s="7">
        <v>70000.0</v>
      </c>
      <c r="I1006" s="7" t="s">
        <v>384</v>
      </c>
      <c r="J1006" s="7" t="str">
        <f>IFERROR(__xludf.DUMMYFUNCTION("GOOGLETRANSLATE($I1006, ""de"", ""en"")"),"year")</f>
        <v>year</v>
      </c>
      <c r="K1006" s="7">
        <v>70000.0</v>
      </c>
      <c r="L1006" s="7" t="s">
        <v>370</v>
      </c>
      <c r="M1006" s="7" t="s">
        <v>274</v>
      </c>
      <c r="N1006" s="7" t="s">
        <v>260</v>
      </c>
      <c r="O1006" s="7"/>
      <c r="P1006" s="35"/>
      <c r="Q1006" s="7"/>
    </row>
    <row r="1007">
      <c r="A1007" s="7">
        <v>1002.0</v>
      </c>
      <c r="B1007" s="7" t="s">
        <v>892</v>
      </c>
      <c r="C1007" s="7" t="str">
        <f>IFERROR(__xludf.DUMMYFUNCTION("GOOGLETRANSLATE($B1007, $A$2, $B$2)"),"25 days ago")</f>
        <v>25 days ago</v>
      </c>
      <c r="D1007" s="7" t="s">
        <v>1996</v>
      </c>
      <c r="E1007" s="7" t="s">
        <v>1997</v>
      </c>
      <c r="F1007" s="7" t="s">
        <v>1998</v>
      </c>
      <c r="G1007" s="7" t="s">
        <v>260</v>
      </c>
      <c r="H1007" s="7" t="s">
        <v>261</v>
      </c>
      <c r="I1007" s="7" t="s">
        <v>261</v>
      </c>
      <c r="J1007" s="7" t="str">
        <f>IFERROR(__xludf.DUMMYFUNCTION("GOOGLETRANSLATE($I1007, ""de"", ""en"")"),"NO SALARY DATA")</f>
        <v>NO SALARY DATA</v>
      </c>
      <c r="K1007" s="7" t="s">
        <v>261</v>
      </c>
      <c r="L1007" s="7" t="s">
        <v>1373</v>
      </c>
      <c r="M1007" s="7" t="s">
        <v>263</v>
      </c>
      <c r="N1007" s="7" t="s">
        <v>336</v>
      </c>
      <c r="O1007" s="7"/>
      <c r="P1007" s="37"/>
      <c r="Q1007" s="7"/>
    </row>
    <row r="1008">
      <c r="A1008" s="7">
        <v>1003.0</v>
      </c>
      <c r="B1008" s="7" t="s">
        <v>358</v>
      </c>
      <c r="C1008" s="7" t="str">
        <f>IFERROR(__xludf.DUMMYFUNCTION("GOOGLETRANSLATE($B1008, $A$2, $B$2)"),"28 days ago")</f>
        <v>28 days ago</v>
      </c>
      <c r="D1008" s="7" t="s">
        <v>1981</v>
      </c>
      <c r="E1008" s="7" t="s">
        <v>1982</v>
      </c>
      <c r="F1008" s="7" t="s">
        <v>1983</v>
      </c>
      <c r="G1008" s="7" t="s">
        <v>260</v>
      </c>
      <c r="H1008" s="7" t="s">
        <v>261</v>
      </c>
      <c r="I1008" s="7" t="s">
        <v>261</v>
      </c>
      <c r="J1008" s="7" t="str">
        <f>IFERROR(__xludf.DUMMYFUNCTION("GOOGLETRANSLATE($I1008, ""de"", ""en"")"),"NO SALARY DATA")</f>
        <v>NO SALARY DATA</v>
      </c>
      <c r="K1008" s="7" t="s">
        <v>261</v>
      </c>
      <c r="L1008" s="7" t="s">
        <v>1940</v>
      </c>
      <c r="M1008" s="7" t="s">
        <v>263</v>
      </c>
      <c r="N1008" s="7" t="s">
        <v>260</v>
      </c>
      <c r="O1008" s="7"/>
      <c r="P1008" s="35"/>
      <c r="Q1008" s="7"/>
    </row>
    <row r="1009">
      <c r="A1009" s="7">
        <v>1004.0</v>
      </c>
      <c r="B1009" s="7" t="s">
        <v>2092</v>
      </c>
      <c r="C1009" s="7" t="str">
        <f>IFERROR(__xludf.DUMMYFUNCTION("GOOGLETRANSLATE($B1009, $A$2, $B$2)"),"8 days ago")</f>
        <v>8 days ago</v>
      </c>
      <c r="D1009" s="7" t="s">
        <v>2093</v>
      </c>
      <c r="E1009" s="7" t="s">
        <v>539</v>
      </c>
      <c r="F1009" s="7" t="s">
        <v>1977</v>
      </c>
      <c r="G1009" s="7" t="s">
        <v>260</v>
      </c>
      <c r="H1009" s="7" t="s">
        <v>261</v>
      </c>
      <c r="I1009" s="7" t="s">
        <v>261</v>
      </c>
      <c r="J1009" s="7" t="str">
        <f>IFERROR(__xludf.DUMMYFUNCTION("GOOGLETRANSLATE($I1009, ""de"", ""en"")"),"NO SALARY DATA")</f>
        <v>NO SALARY DATA</v>
      </c>
      <c r="K1009" s="7" t="s">
        <v>261</v>
      </c>
      <c r="L1009" s="7" t="s">
        <v>455</v>
      </c>
      <c r="M1009" s="7" t="s">
        <v>263</v>
      </c>
      <c r="N1009" s="7" t="s">
        <v>331</v>
      </c>
      <c r="O1009" s="7"/>
      <c r="P1009" s="35"/>
      <c r="Q1009" s="7"/>
    </row>
    <row r="1010">
      <c r="A1010" s="7">
        <v>1005.0</v>
      </c>
      <c r="B1010" s="7" t="s">
        <v>621</v>
      </c>
      <c r="C1010" s="7" t="str">
        <f>IFERROR(__xludf.DUMMYFUNCTION("GOOGLETRANSLATE($B1010, $A$2, $B$2)"),"20 days ago")</f>
        <v>20 days ago</v>
      </c>
      <c r="D1010" s="7" t="s">
        <v>2096</v>
      </c>
      <c r="E1010" s="7" t="s">
        <v>2097</v>
      </c>
      <c r="F1010" s="7" t="s">
        <v>218</v>
      </c>
      <c r="G1010" s="7" t="s">
        <v>260</v>
      </c>
      <c r="H1010" s="7" t="s">
        <v>261</v>
      </c>
      <c r="I1010" s="7" t="s">
        <v>261</v>
      </c>
      <c r="J1010" s="7" t="str">
        <f>IFERROR(__xludf.DUMMYFUNCTION("GOOGLETRANSLATE($I1010, ""de"", ""en"")"),"NO SALARY DATA")</f>
        <v>NO SALARY DATA</v>
      </c>
      <c r="K1010" s="7" t="s">
        <v>261</v>
      </c>
      <c r="L1010" s="7" t="s">
        <v>2098</v>
      </c>
      <c r="M1010" s="7" t="s">
        <v>414</v>
      </c>
      <c r="N1010" s="7" t="s">
        <v>399</v>
      </c>
      <c r="O1010" s="7"/>
      <c r="P1010" s="37"/>
      <c r="Q1010" s="7"/>
    </row>
    <row r="1011">
      <c r="A1011" s="7">
        <v>1006.0</v>
      </c>
      <c r="B1011" s="7" t="s">
        <v>324</v>
      </c>
      <c r="C1011" s="7" t="str">
        <f>IFERROR(__xludf.DUMMYFUNCTION("GOOGLETRANSLATE($B1011, $A$2, $B$2)"),"3 days ago")</f>
        <v>3 days ago</v>
      </c>
      <c r="D1011" s="7" t="s">
        <v>2099</v>
      </c>
      <c r="E1011" s="7" t="s">
        <v>280</v>
      </c>
      <c r="F1011" s="7" t="s">
        <v>2100</v>
      </c>
      <c r="G1011" s="7" t="s">
        <v>260</v>
      </c>
      <c r="H1011" s="7" t="s">
        <v>261</v>
      </c>
      <c r="I1011" s="7" t="s">
        <v>261</v>
      </c>
      <c r="J1011" s="7" t="str">
        <f>IFERROR(__xludf.DUMMYFUNCTION("GOOGLETRANSLATE($I1011, ""de"", ""en"")"),"NO SALARY DATA")</f>
        <v>NO SALARY DATA</v>
      </c>
      <c r="K1011" s="7" t="s">
        <v>261</v>
      </c>
      <c r="L1011" s="7"/>
      <c r="M1011" s="7" t="s">
        <v>263</v>
      </c>
      <c r="N1011" s="7" t="s">
        <v>260</v>
      </c>
      <c r="O1011" s="7"/>
      <c r="P1011" s="35"/>
      <c r="Q1011" s="7"/>
    </row>
    <row r="1012">
      <c r="A1012" s="7">
        <v>1007.0</v>
      </c>
      <c r="B1012" s="7" t="s">
        <v>2027</v>
      </c>
      <c r="C1012" s="7" t="str">
        <f>IFERROR(__xludf.DUMMYFUNCTION("GOOGLETRANSLATE($B1012, $A$2, $B$2)"),"22 days ago")</f>
        <v>22 days ago</v>
      </c>
      <c r="D1012" s="7" t="s">
        <v>2085</v>
      </c>
      <c r="E1012" s="7" t="s">
        <v>401</v>
      </c>
      <c r="F1012" s="7" t="s">
        <v>2086</v>
      </c>
      <c r="G1012" s="7" t="s">
        <v>260</v>
      </c>
      <c r="H1012" s="7" t="s">
        <v>261</v>
      </c>
      <c r="I1012" s="7" t="s">
        <v>261</v>
      </c>
      <c r="J1012" s="7" t="str">
        <f>IFERROR(__xludf.DUMMYFUNCTION("GOOGLETRANSLATE($I1012, ""de"", ""en"")"),"NO SALARY DATA")</f>
        <v>NO SALARY DATA</v>
      </c>
      <c r="K1012" s="7" t="s">
        <v>261</v>
      </c>
      <c r="L1012" s="7"/>
      <c r="M1012" s="7" t="s">
        <v>263</v>
      </c>
      <c r="N1012" s="7" t="s">
        <v>336</v>
      </c>
      <c r="O1012" s="7"/>
      <c r="P1012" s="35"/>
      <c r="Q1012" s="7"/>
    </row>
    <row r="1013">
      <c r="A1013" s="7">
        <v>1008.0</v>
      </c>
      <c r="B1013" s="7" t="s">
        <v>2087</v>
      </c>
      <c r="C1013" s="7" t="str">
        <f>IFERROR(__xludf.DUMMYFUNCTION("GOOGLETRANSLATE($B1013, $A$2, $B$2)"),"29 days ago")</f>
        <v>29 days ago</v>
      </c>
      <c r="D1013" s="7" t="s">
        <v>2088</v>
      </c>
      <c r="E1013" s="7" t="s">
        <v>348</v>
      </c>
      <c r="F1013" s="7" t="s">
        <v>2089</v>
      </c>
      <c r="G1013" s="7" t="s">
        <v>260</v>
      </c>
      <c r="H1013" s="7" t="s">
        <v>261</v>
      </c>
      <c r="I1013" s="7" t="s">
        <v>261</v>
      </c>
      <c r="J1013" s="7" t="str">
        <f>IFERROR(__xludf.DUMMYFUNCTION("GOOGLETRANSLATE($I1013, ""de"", ""en"")"),"NO SALARY DATA")</f>
        <v>NO SALARY DATA</v>
      </c>
      <c r="K1013" s="7" t="s">
        <v>261</v>
      </c>
      <c r="L1013" s="7" t="s">
        <v>286</v>
      </c>
      <c r="M1013" s="7" t="s">
        <v>263</v>
      </c>
      <c r="N1013" s="7" t="s">
        <v>323</v>
      </c>
      <c r="O1013" s="7"/>
      <c r="P1013" s="37"/>
      <c r="Q1013" s="7"/>
    </row>
    <row r="1014">
      <c r="A1014" s="7">
        <v>1009.0</v>
      </c>
      <c r="B1014" s="7" t="s">
        <v>265</v>
      </c>
      <c r="C1014" s="7" t="str">
        <f>IFERROR(__xludf.DUMMYFUNCTION("GOOGLETRANSLATE($B1014, $A$2, $B$2)"),"More than 30 days ago")</f>
        <v>More than 30 days ago</v>
      </c>
      <c r="D1014" s="7" t="s">
        <v>2050</v>
      </c>
      <c r="E1014" s="7" t="s">
        <v>352</v>
      </c>
      <c r="F1014" s="7" t="s">
        <v>2051</v>
      </c>
      <c r="G1014" s="7" t="s">
        <v>260</v>
      </c>
      <c r="H1014" s="7" t="s">
        <v>261</v>
      </c>
      <c r="I1014" s="7" t="s">
        <v>261</v>
      </c>
      <c r="J1014" s="7" t="str">
        <f>IFERROR(__xludf.DUMMYFUNCTION("GOOGLETRANSLATE($I1014, ""de"", ""en"")"),"NO SALARY DATA")</f>
        <v>NO SALARY DATA</v>
      </c>
      <c r="K1014" s="7" t="s">
        <v>261</v>
      </c>
      <c r="L1014" s="7" t="s">
        <v>1373</v>
      </c>
      <c r="M1014" s="7" t="s">
        <v>263</v>
      </c>
      <c r="N1014" s="7" t="s">
        <v>260</v>
      </c>
      <c r="O1014" s="7"/>
      <c r="P1014" s="35"/>
      <c r="Q1014" s="7"/>
    </row>
    <row r="1015">
      <c r="A1015" s="7">
        <v>1010.0</v>
      </c>
      <c r="B1015" s="7" t="s">
        <v>265</v>
      </c>
      <c r="C1015" s="7" t="str">
        <f>IFERROR(__xludf.DUMMYFUNCTION("GOOGLETRANSLATE($B1015, $A$2, $B$2)"),"More than 30 days ago")</f>
        <v>More than 30 days ago</v>
      </c>
      <c r="D1015" s="7" t="s">
        <v>2052</v>
      </c>
      <c r="E1015" s="7" t="s">
        <v>2053</v>
      </c>
      <c r="F1015" s="7" t="s">
        <v>2054</v>
      </c>
      <c r="G1015" s="7" t="s">
        <v>260</v>
      </c>
      <c r="H1015" s="7" t="s">
        <v>261</v>
      </c>
      <c r="I1015" s="7" t="s">
        <v>261</v>
      </c>
      <c r="J1015" s="7" t="str">
        <f>IFERROR(__xludf.DUMMYFUNCTION("GOOGLETRANSLATE($I1015, ""de"", ""en"")"),"NO SALARY DATA")</f>
        <v>NO SALARY DATA</v>
      </c>
      <c r="K1015" s="7" t="s">
        <v>261</v>
      </c>
      <c r="L1015" s="7" t="s">
        <v>423</v>
      </c>
      <c r="M1015" s="7" t="s">
        <v>263</v>
      </c>
      <c r="N1015" s="7" t="s">
        <v>725</v>
      </c>
      <c r="O1015" s="7"/>
      <c r="P1015" s="37"/>
      <c r="Q1015" s="7"/>
    </row>
    <row r="1016">
      <c r="A1016" s="7">
        <v>1011.0</v>
      </c>
      <c r="B1016" s="7" t="s">
        <v>269</v>
      </c>
      <c r="C1016" s="7" t="str">
        <f>IFERROR(__xludf.DUMMYFUNCTION("GOOGLETRANSLATE($B1016, $A$2, $B$2)"),"5 days ago")</f>
        <v>5 days ago</v>
      </c>
      <c r="D1016" s="7" t="s">
        <v>2101</v>
      </c>
      <c r="E1016" s="7" t="s">
        <v>352</v>
      </c>
      <c r="F1016" s="7" t="s">
        <v>2102</v>
      </c>
      <c r="G1016" s="7" t="s">
        <v>260</v>
      </c>
      <c r="H1016" s="7" t="s">
        <v>261</v>
      </c>
      <c r="I1016" s="7" t="s">
        <v>261</v>
      </c>
      <c r="J1016" s="7" t="str">
        <f>IFERROR(__xludf.DUMMYFUNCTION("GOOGLETRANSLATE($I1016, ""de"", ""en"")"),"NO SALARY DATA")</f>
        <v>NO SALARY DATA</v>
      </c>
      <c r="K1016" s="7" t="s">
        <v>261</v>
      </c>
      <c r="L1016" s="7" t="s">
        <v>433</v>
      </c>
      <c r="M1016" s="7" t="s">
        <v>263</v>
      </c>
      <c r="N1016" s="7" t="s">
        <v>260</v>
      </c>
      <c r="O1016" s="7"/>
      <c r="P1016" s="37"/>
      <c r="Q1016" s="7"/>
    </row>
    <row r="1017">
      <c r="A1017" s="7">
        <v>1012.0</v>
      </c>
      <c r="B1017" s="7" t="s">
        <v>288</v>
      </c>
      <c r="C1017" s="7" t="str">
        <f>IFERROR(__xludf.DUMMYFUNCTION("GOOGLETRANSLATE($B1017, $A$2, $B$2)"),"2 days ago")</f>
        <v>2 days ago</v>
      </c>
      <c r="D1017" s="7" t="s">
        <v>2090</v>
      </c>
      <c r="E1017" s="7" t="s">
        <v>2103</v>
      </c>
      <c r="F1017" s="7" t="s">
        <v>2056</v>
      </c>
      <c r="G1017" s="7" t="s">
        <v>260</v>
      </c>
      <c r="H1017" s="7" t="s">
        <v>261</v>
      </c>
      <c r="I1017" s="7" t="s">
        <v>261</v>
      </c>
      <c r="J1017" s="7" t="str">
        <f>IFERROR(__xludf.DUMMYFUNCTION("GOOGLETRANSLATE($I1017, ""de"", ""en"")"),"NO SALARY DATA")</f>
        <v>NO SALARY DATA</v>
      </c>
      <c r="K1017" s="7" t="s">
        <v>261</v>
      </c>
      <c r="L1017" s="7" t="s">
        <v>286</v>
      </c>
      <c r="M1017" s="7" t="s">
        <v>263</v>
      </c>
      <c r="N1017" s="7" t="s">
        <v>260</v>
      </c>
      <c r="O1017" s="7"/>
      <c r="P1017" s="37"/>
      <c r="Q1017" s="7"/>
    </row>
    <row r="1018">
      <c r="A1018" s="7">
        <v>1013.0</v>
      </c>
      <c r="B1018" s="7" t="s">
        <v>302</v>
      </c>
      <c r="C1018" s="7" t="str">
        <f>IFERROR(__xludf.DUMMYFUNCTION("GOOGLETRANSLATE($B1018, $A$2, $B$2)"),"today")</f>
        <v>today</v>
      </c>
      <c r="D1018" s="7" t="s">
        <v>2104</v>
      </c>
      <c r="E1018" s="7" t="s">
        <v>2105</v>
      </c>
      <c r="F1018" s="7" t="s">
        <v>2106</v>
      </c>
      <c r="G1018" s="7" t="s">
        <v>260</v>
      </c>
      <c r="H1018" s="7" t="s">
        <v>261</v>
      </c>
      <c r="I1018" s="7" t="s">
        <v>261</v>
      </c>
      <c r="J1018" s="7" t="str">
        <f>IFERROR(__xludf.DUMMYFUNCTION("GOOGLETRANSLATE($I1018, ""de"", ""en"")"),"NO SALARY DATA")</f>
        <v>NO SALARY DATA</v>
      </c>
      <c r="K1018" s="7" t="s">
        <v>261</v>
      </c>
      <c r="L1018" s="7" t="s">
        <v>423</v>
      </c>
      <c r="M1018" s="7" t="s">
        <v>263</v>
      </c>
      <c r="N1018" s="7" t="s">
        <v>260</v>
      </c>
      <c r="O1018" s="7"/>
      <c r="P1018" s="35"/>
      <c r="Q1018" s="7"/>
    </row>
    <row r="1019">
      <c r="A1019" s="7">
        <v>1014.0</v>
      </c>
      <c r="B1019" s="7" t="s">
        <v>265</v>
      </c>
      <c r="C1019" s="7" t="str">
        <f>IFERROR(__xludf.DUMMYFUNCTION("GOOGLETRANSLATE($B1019, $A$2, $B$2)"),"More than 30 days ago")</f>
        <v>More than 30 days ago</v>
      </c>
      <c r="D1019" s="7" t="s">
        <v>2107</v>
      </c>
      <c r="E1019" s="7" t="s">
        <v>2053</v>
      </c>
      <c r="F1019" s="7" t="s">
        <v>2054</v>
      </c>
      <c r="G1019" s="7" t="s">
        <v>260</v>
      </c>
      <c r="H1019" s="7" t="s">
        <v>261</v>
      </c>
      <c r="I1019" s="7" t="s">
        <v>261</v>
      </c>
      <c r="J1019" s="7" t="str">
        <f>IFERROR(__xludf.DUMMYFUNCTION("GOOGLETRANSLATE($I1019, ""de"", ""en"")"),"NO SALARY DATA")</f>
        <v>NO SALARY DATA</v>
      </c>
      <c r="K1019" s="7" t="s">
        <v>261</v>
      </c>
      <c r="L1019" s="7"/>
      <c r="M1019" s="7" t="s">
        <v>263</v>
      </c>
      <c r="N1019" s="7" t="s">
        <v>725</v>
      </c>
      <c r="O1019" s="7"/>
      <c r="P1019" s="35"/>
      <c r="Q1019" s="7"/>
    </row>
    <row r="1020">
      <c r="A1020" s="7">
        <v>1015.0</v>
      </c>
      <c r="B1020" s="7" t="s">
        <v>2092</v>
      </c>
      <c r="C1020" s="7" t="str">
        <f>IFERROR(__xludf.DUMMYFUNCTION("GOOGLETRANSLATE($B1020, $A$2, $B$2)"),"8 days ago")</f>
        <v>8 days ago</v>
      </c>
      <c r="D1020" s="7" t="s">
        <v>2108</v>
      </c>
      <c r="E1020" s="7" t="s">
        <v>539</v>
      </c>
      <c r="F1020" s="7" t="s">
        <v>1977</v>
      </c>
      <c r="G1020" s="7" t="s">
        <v>260</v>
      </c>
      <c r="H1020" s="7" t="s">
        <v>261</v>
      </c>
      <c r="I1020" s="7" t="s">
        <v>261</v>
      </c>
      <c r="J1020" s="7" t="str">
        <f>IFERROR(__xludf.DUMMYFUNCTION("GOOGLETRANSLATE($I1020, ""de"", ""en"")"),"NO SALARY DATA")</f>
        <v>NO SALARY DATA</v>
      </c>
      <c r="K1020" s="7" t="s">
        <v>261</v>
      </c>
      <c r="L1020" s="7" t="s">
        <v>455</v>
      </c>
      <c r="M1020" s="7" t="s">
        <v>263</v>
      </c>
      <c r="N1020" s="7" t="s">
        <v>331</v>
      </c>
      <c r="O1020" s="7"/>
      <c r="P1020" s="35"/>
      <c r="Q1020" s="7"/>
    </row>
    <row r="1021">
      <c r="A1021" s="7">
        <v>1016.0</v>
      </c>
      <c r="B1021" s="7" t="s">
        <v>265</v>
      </c>
      <c r="C1021" s="7" t="str">
        <f>IFERROR(__xludf.DUMMYFUNCTION("GOOGLETRANSLATE($B1021, $A$2, $B$2)"),"More than 30 days ago")</f>
        <v>More than 30 days ago</v>
      </c>
      <c r="D1021" s="7" t="s">
        <v>1679</v>
      </c>
      <c r="E1021" s="7" t="s">
        <v>343</v>
      </c>
      <c r="F1021" s="7" t="s">
        <v>506</v>
      </c>
      <c r="G1021" s="7" t="s">
        <v>260</v>
      </c>
      <c r="H1021" s="7" t="s">
        <v>261</v>
      </c>
      <c r="I1021" s="7" t="s">
        <v>261</v>
      </c>
      <c r="J1021" s="7" t="str">
        <f>IFERROR(__xludf.DUMMYFUNCTION("GOOGLETRANSLATE($I1021, ""de"", ""en"")"),"NO SALARY DATA")</f>
        <v>NO SALARY DATA</v>
      </c>
      <c r="K1021" s="7" t="s">
        <v>261</v>
      </c>
      <c r="L1021" s="7"/>
      <c r="M1021" s="7" t="s">
        <v>263</v>
      </c>
      <c r="N1021" s="7" t="s">
        <v>507</v>
      </c>
      <c r="O1021" s="7"/>
      <c r="P1021" s="37"/>
      <c r="Q1021" s="7"/>
    </row>
    <row r="1022">
      <c r="A1022" s="7">
        <v>1017.0</v>
      </c>
      <c r="B1022" s="7" t="s">
        <v>292</v>
      </c>
      <c r="C1022" s="7" t="str">
        <f>IFERROR(__xludf.DUMMYFUNCTION("GOOGLETRANSLATE($B1022, $A$2, $B$2)"),"1 day ago")</f>
        <v>1 day ago</v>
      </c>
      <c r="D1022" s="7" t="s">
        <v>2109</v>
      </c>
      <c r="E1022" s="7" t="s">
        <v>2110</v>
      </c>
      <c r="F1022" s="7" t="s">
        <v>2111</v>
      </c>
      <c r="G1022" s="7" t="s">
        <v>260</v>
      </c>
      <c r="H1022" s="7" t="s">
        <v>261</v>
      </c>
      <c r="I1022" s="7" t="s">
        <v>261</v>
      </c>
      <c r="J1022" s="7" t="str">
        <f>IFERROR(__xludf.DUMMYFUNCTION("GOOGLETRANSLATE($I1022, ""de"", ""en"")"),"NO SALARY DATA")</f>
        <v>NO SALARY DATA</v>
      </c>
      <c r="K1022" s="7" t="s">
        <v>261</v>
      </c>
      <c r="L1022" s="7"/>
      <c r="M1022" s="7" t="s">
        <v>263</v>
      </c>
      <c r="N1022" s="7" t="s">
        <v>260</v>
      </c>
      <c r="O1022" s="7"/>
      <c r="P1022" s="37"/>
      <c r="Q1022" s="7"/>
    </row>
    <row r="1023">
      <c r="A1023" s="7">
        <v>1018.0</v>
      </c>
      <c r="B1023" s="7" t="s">
        <v>288</v>
      </c>
      <c r="C1023" s="7" t="str">
        <f>IFERROR(__xludf.DUMMYFUNCTION("GOOGLETRANSLATE($B1023, $A$2, $B$2)"),"2 days ago")</f>
        <v>2 days ago</v>
      </c>
      <c r="D1023" s="7" t="s">
        <v>2023</v>
      </c>
      <c r="E1023" s="7" t="s">
        <v>352</v>
      </c>
      <c r="F1023" s="7" t="s">
        <v>1987</v>
      </c>
      <c r="G1023" s="7" t="s">
        <v>260</v>
      </c>
      <c r="H1023" s="7" t="s">
        <v>261</v>
      </c>
      <c r="I1023" s="7" t="s">
        <v>261</v>
      </c>
      <c r="J1023" s="7" t="str">
        <f>IFERROR(__xludf.DUMMYFUNCTION("GOOGLETRANSLATE($I1023, ""de"", ""en"")"),"NO SALARY DATA")</f>
        <v>NO SALARY DATA</v>
      </c>
      <c r="K1023" s="7" t="s">
        <v>261</v>
      </c>
      <c r="L1023" s="7" t="s">
        <v>419</v>
      </c>
      <c r="M1023" s="7" t="s">
        <v>263</v>
      </c>
      <c r="N1023" s="7" t="s">
        <v>260</v>
      </c>
      <c r="O1023" s="7"/>
      <c r="P1023" s="35"/>
      <c r="Q1023" s="7"/>
    </row>
    <row r="1024">
      <c r="A1024" s="7">
        <v>1019.0</v>
      </c>
      <c r="B1024" s="7" t="s">
        <v>265</v>
      </c>
      <c r="C1024" s="7" t="str">
        <f>IFERROR(__xludf.DUMMYFUNCTION("GOOGLETRANSLATE($B1024, $A$2, $B$2)"),"More than 30 days ago")</f>
        <v>More than 30 days ago</v>
      </c>
      <c r="D1024" s="7" t="s">
        <v>2107</v>
      </c>
      <c r="E1024" s="7" t="s">
        <v>2053</v>
      </c>
      <c r="F1024" s="7" t="s">
        <v>2054</v>
      </c>
      <c r="G1024" s="7" t="s">
        <v>260</v>
      </c>
      <c r="H1024" s="7" t="s">
        <v>261</v>
      </c>
      <c r="I1024" s="7" t="s">
        <v>261</v>
      </c>
      <c r="J1024" s="7" t="str">
        <f>IFERROR(__xludf.DUMMYFUNCTION("GOOGLETRANSLATE($I1024, ""de"", ""en"")"),"NO SALARY DATA")</f>
        <v>NO SALARY DATA</v>
      </c>
      <c r="K1024" s="7" t="s">
        <v>261</v>
      </c>
      <c r="L1024" s="7"/>
      <c r="M1024" s="7" t="s">
        <v>263</v>
      </c>
      <c r="N1024" s="7" t="s">
        <v>725</v>
      </c>
      <c r="O1024" s="7"/>
      <c r="P1024" s="37"/>
      <c r="Q1024" s="7"/>
    </row>
    <row r="1025">
      <c r="A1025" s="7">
        <v>1020.0</v>
      </c>
      <c r="B1025" s="7" t="s">
        <v>256</v>
      </c>
      <c r="C1025" s="7" t="str">
        <f>IFERROR(__xludf.DUMMYFUNCTION("GOOGLETRANSLATE($B1025, $A$2, $B$2)"),"7 days ago")</f>
        <v>7 days ago</v>
      </c>
      <c r="D1025" s="7" t="s">
        <v>2112</v>
      </c>
      <c r="E1025" s="7" t="s">
        <v>271</v>
      </c>
      <c r="F1025" s="7" t="s">
        <v>1915</v>
      </c>
      <c r="G1025" s="7" t="s">
        <v>2068</v>
      </c>
      <c r="H1025" s="7">
        <v>75000.0</v>
      </c>
      <c r="I1025" s="7" t="s">
        <v>384</v>
      </c>
      <c r="J1025" s="7" t="str">
        <f>IFERROR(__xludf.DUMMYFUNCTION("GOOGLETRANSLATE($I1025, ""de"", ""en"")"),"year")</f>
        <v>year</v>
      </c>
      <c r="K1025" s="7">
        <v>75000.0</v>
      </c>
      <c r="L1025" s="7" t="s">
        <v>423</v>
      </c>
      <c r="M1025" s="7" t="s">
        <v>452</v>
      </c>
      <c r="N1025" s="7" t="s">
        <v>260</v>
      </c>
      <c r="O1025" s="7"/>
      <c r="P1025" s="37"/>
      <c r="Q1025" s="7"/>
    </row>
    <row r="1026">
      <c r="A1026" s="7">
        <v>1021.0</v>
      </c>
      <c r="B1026" s="7" t="s">
        <v>288</v>
      </c>
      <c r="C1026" s="7" t="str">
        <f>IFERROR(__xludf.DUMMYFUNCTION("GOOGLETRANSLATE($B1026, $A$2, $B$2)"),"2 days ago")</f>
        <v>2 days ago</v>
      </c>
      <c r="D1026" s="7" t="s">
        <v>2113</v>
      </c>
      <c r="E1026" s="7" t="s">
        <v>258</v>
      </c>
      <c r="F1026" s="7" t="s">
        <v>2114</v>
      </c>
      <c r="G1026" s="7" t="s">
        <v>260</v>
      </c>
      <c r="H1026" s="7" t="s">
        <v>261</v>
      </c>
      <c r="I1026" s="7" t="s">
        <v>261</v>
      </c>
      <c r="J1026" s="7" t="str">
        <f>IFERROR(__xludf.DUMMYFUNCTION("GOOGLETRANSLATE($I1026, ""de"", ""en"")"),"NO SALARY DATA")</f>
        <v>NO SALARY DATA</v>
      </c>
      <c r="K1026" s="7" t="s">
        <v>261</v>
      </c>
      <c r="L1026" s="7" t="s">
        <v>441</v>
      </c>
      <c r="M1026" s="7" t="s">
        <v>263</v>
      </c>
      <c r="N1026" s="7" t="s">
        <v>260</v>
      </c>
      <c r="O1026" s="7"/>
      <c r="P1026" s="37"/>
      <c r="Q1026" s="7"/>
    </row>
    <row r="1027">
      <c r="A1027" s="7">
        <v>1022.0</v>
      </c>
      <c r="B1027" s="7" t="s">
        <v>265</v>
      </c>
      <c r="C1027" s="7" t="str">
        <f>IFERROR(__xludf.DUMMYFUNCTION("GOOGLETRANSLATE($B1027, $A$2, $B$2)"),"More than 30 days ago")</f>
        <v>More than 30 days ago</v>
      </c>
      <c r="D1027" s="7" t="s">
        <v>1961</v>
      </c>
      <c r="E1027" s="7" t="s">
        <v>271</v>
      </c>
      <c r="F1027" s="7" t="s">
        <v>1885</v>
      </c>
      <c r="G1027" s="7" t="s">
        <v>260</v>
      </c>
      <c r="H1027" s="7" t="s">
        <v>261</v>
      </c>
      <c r="I1027" s="7" t="s">
        <v>261</v>
      </c>
      <c r="J1027" s="7" t="str">
        <f>IFERROR(__xludf.DUMMYFUNCTION("GOOGLETRANSLATE($I1027, ""de"", ""en"")"),"NO SALARY DATA")</f>
        <v>NO SALARY DATA</v>
      </c>
      <c r="K1027" s="7" t="s">
        <v>261</v>
      </c>
      <c r="L1027" s="7" t="s">
        <v>1734</v>
      </c>
      <c r="M1027" s="7" t="s">
        <v>452</v>
      </c>
      <c r="N1027" s="7" t="s">
        <v>260</v>
      </c>
      <c r="O1027" s="7"/>
      <c r="P1027" s="35"/>
      <c r="Q1027" s="7"/>
    </row>
    <row r="1028">
      <c r="A1028" s="7">
        <v>1023.0</v>
      </c>
      <c r="B1028" s="7" t="s">
        <v>346</v>
      </c>
      <c r="C1028" s="7" t="str">
        <f>IFERROR(__xludf.DUMMYFUNCTION("GOOGLETRANSLATE($B1028, $A$2, $B$2)"),"12 days ago")</f>
        <v>12 days ago</v>
      </c>
      <c r="D1028" s="7" t="s">
        <v>2115</v>
      </c>
      <c r="E1028" s="7" t="s">
        <v>539</v>
      </c>
      <c r="F1028" s="7" t="s">
        <v>1977</v>
      </c>
      <c r="G1028" s="7" t="s">
        <v>260</v>
      </c>
      <c r="H1028" s="7" t="s">
        <v>261</v>
      </c>
      <c r="I1028" s="7" t="s">
        <v>261</v>
      </c>
      <c r="J1028" s="7" t="str">
        <f>IFERROR(__xludf.DUMMYFUNCTION("GOOGLETRANSLATE($I1028, ""de"", ""en"")"),"NO SALARY DATA")</f>
        <v>NO SALARY DATA</v>
      </c>
      <c r="K1028" s="7" t="s">
        <v>261</v>
      </c>
      <c r="L1028" s="7" t="s">
        <v>1774</v>
      </c>
      <c r="M1028" s="7" t="s">
        <v>263</v>
      </c>
      <c r="N1028" s="7" t="s">
        <v>331</v>
      </c>
      <c r="O1028" s="7"/>
      <c r="P1028" s="37"/>
      <c r="Q1028" s="7"/>
    </row>
    <row r="1029">
      <c r="A1029" s="7">
        <v>1024.0</v>
      </c>
      <c r="B1029" s="7" t="s">
        <v>346</v>
      </c>
      <c r="C1029" s="7" t="str">
        <f>IFERROR(__xludf.DUMMYFUNCTION("GOOGLETRANSLATE($B1029, $A$2, $B$2)"),"12 days ago")</f>
        <v>12 days ago</v>
      </c>
      <c r="D1029" s="7" t="s">
        <v>2116</v>
      </c>
      <c r="E1029" s="7" t="s">
        <v>580</v>
      </c>
      <c r="F1029" s="7" t="s">
        <v>2117</v>
      </c>
      <c r="G1029" s="7" t="s">
        <v>260</v>
      </c>
      <c r="H1029" s="7" t="s">
        <v>261</v>
      </c>
      <c r="I1029" s="7" t="s">
        <v>261</v>
      </c>
      <c r="J1029" s="7" t="str">
        <f>IFERROR(__xludf.DUMMYFUNCTION("GOOGLETRANSLATE($I1029, ""de"", ""en"")"),"NO SALARY DATA")</f>
        <v>NO SALARY DATA</v>
      </c>
      <c r="K1029" s="7" t="s">
        <v>261</v>
      </c>
      <c r="L1029" s="7"/>
      <c r="M1029" s="7" t="s">
        <v>452</v>
      </c>
      <c r="N1029" s="7" t="s">
        <v>260</v>
      </c>
      <c r="O1029" s="7"/>
      <c r="P1029" s="37"/>
      <c r="Q1029" s="7"/>
    </row>
    <row r="1030">
      <c r="A1030" s="7">
        <v>1025.0</v>
      </c>
      <c r="B1030" s="7" t="s">
        <v>288</v>
      </c>
      <c r="C1030" s="7" t="str">
        <f>IFERROR(__xludf.DUMMYFUNCTION("GOOGLETRANSLATE($B1030, $A$2, $B$2)"),"2 days ago")</f>
        <v>2 days ago</v>
      </c>
      <c r="D1030" s="7" t="s">
        <v>2055</v>
      </c>
      <c r="E1030" s="7" t="s">
        <v>2103</v>
      </c>
      <c r="F1030" s="7" t="s">
        <v>2056</v>
      </c>
      <c r="G1030" s="7" t="s">
        <v>260</v>
      </c>
      <c r="H1030" s="7" t="s">
        <v>261</v>
      </c>
      <c r="I1030" s="7" t="s">
        <v>261</v>
      </c>
      <c r="J1030" s="7" t="str">
        <f>IFERROR(__xludf.DUMMYFUNCTION("GOOGLETRANSLATE($I1030, ""de"", ""en"")"),"NO SALARY DATA")</f>
        <v>NO SALARY DATA</v>
      </c>
      <c r="K1030" s="7" t="s">
        <v>261</v>
      </c>
      <c r="L1030" s="7"/>
      <c r="M1030" s="7" t="s">
        <v>263</v>
      </c>
      <c r="N1030" s="7" t="s">
        <v>260</v>
      </c>
      <c r="O1030" s="7"/>
      <c r="P1030" s="37"/>
      <c r="Q1030" s="7"/>
    </row>
    <row r="1031">
      <c r="A1031" s="7">
        <v>1026.0</v>
      </c>
      <c r="B1031" s="7" t="s">
        <v>346</v>
      </c>
      <c r="C1031" s="7" t="str">
        <f>IFERROR(__xludf.DUMMYFUNCTION("GOOGLETRANSLATE($B1031, $A$2, $B$2)"),"12 days ago")</f>
        <v>12 days ago</v>
      </c>
      <c r="D1031" s="7" t="s">
        <v>2033</v>
      </c>
      <c r="E1031" s="7" t="s">
        <v>1835</v>
      </c>
      <c r="F1031" s="7" t="s">
        <v>2034</v>
      </c>
      <c r="G1031" s="7" t="s">
        <v>260</v>
      </c>
      <c r="H1031" s="7" t="s">
        <v>261</v>
      </c>
      <c r="I1031" s="7" t="s">
        <v>261</v>
      </c>
      <c r="J1031" s="7" t="str">
        <f>IFERROR(__xludf.DUMMYFUNCTION("GOOGLETRANSLATE($I1031, ""de"", ""en"")"),"NO SALARY DATA")</f>
        <v>NO SALARY DATA</v>
      </c>
      <c r="K1031" s="7" t="s">
        <v>261</v>
      </c>
      <c r="L1031" s="7" t="s">
        <v>711</v>
      </c>
      <c r="M1031" s="7" t="s">
        <v>263</v>
      </c>
      <c r="N1031" s="7" t="s">
        <v>260</v>
      </c>
      <c r="O1031" s="7"/>
      <c r="P1031" s="37"/>
      <c r="Q1031" s="7"/>
    </row>
    <row r="1032">
      <c r="A1032" s="7">
        <v>1027.0</v>
      </c>
      <c r="B1032" s="7" t="s">
        <v>1271</v>
      </c>
      <c r="C1032" s="7" t="str">
        <f>IFERROR(__xludf.DUMMYFUNCTION("GOOGLETRANSLATE($B1032, $A$2, $B$2)"),"27 days ago")</f>
        <v>27 days ago</v>
      </c>
      <c r="D1032" s="7" t="s">
        <v>2118</v>
      </c>
      <c r="E1032" s="7" t="s">
        <v>348</v>
      </c>
      <c r="F1032" s="7" t="s">
        <v>1991</v>
      </c>
      <c r="G1032" s="7" t="s">
        <v>1992</v>
      </c>
      <c r="H1032" s="7">
        <v>100000.0</v>
      </c>
      <c r="I1032" s="7" t="s">
        <v>384</v>
      </c>
      <c r="J1032" s="7" t="str">
        <f>IFERROR(__xludf.DUMMYFUNCTION("GOOGLETRANSLATE($I1032, ""de"", ""en"")"),"year")</f>
        <v>year</v>
      </c>
      <c r="K1032" s="7">
        <v>100000.0</v>
      </c>
      <c r="L1032" s="7" t="s">
        <v>777</v>
      </c>
      <c r="M1032" s="7" t="s">
        <v>673</v>
      </c>
      <c r="N1032" s="7" t="s">
        <v>260</v>
      </c>
      <c r="O1032" s="7"/>
      <c r="P1032" s="37"/>
      <c r="Q1032" s="7"/>
    </row>
    <row r="1033">
      <c r="A1033" s="7">
        <v>1028.0</v>
      </c>
      <c r="B1033" s="7" t="s">
        <v>637</v>
      </c>
      <c r="C1033" s="7" t="str">
        <f>IFERROR(__xludf.DUMMYFUNCTION("GOOGLETRANSLATE($B1033, $A$2, $B$2)"),"17 days ago")</f>
        <v>17 days ago</v>
      </c>
      <c r="D1033" s="7" t="s">
        <v>2024</v>
      </c>
      <c r="E1033" s="7" t="s">
        <v>348</v>
      </c>
      <c r="F1033" s="7" t="s">
        <v>2025</v>
      </c>
      <c r="G1033" s="7" t="s">
        <v>260</v>
      </c>
      <c r="H1033" s="7" t="s">
        <v>261</v>
      </c>
      <c r="I1033" s="7" t="s">
        <v>261</v>
      </c>
      <c r="J1033" s="7" t="str">
        <f>IFERROR(__xludf.DUMMYFUNCTION("GOOGLETRANSLATE($I1033, ""de"", ""en"")"),"NO SALARY DATA")</f>
        <v>NO SALARY DATA</v>
      </c>
      <c r="K1033" s="7" t="s">
        <v>261</v>
      </c>
      <c r="L1033" s="7" t="s">
        <v>649</v>
      </c>
      <c r="M1033" s="7" t="s">
        <v>263</v>
      </c>
      <c r="N1033" s="7" t="s">
        <v>260</v>
      </c>
      <c r="O1033" s="7"/>
      <c r="P1033" s="35"/>
      <c r="Q1033" s="7"/>
    </row>
    <row r="1034">
      <c r="A1034" s="7">
        <v>1029.0</v>
      </c>
      <c r="B1034" s="7" t="s">
        <v>621</v>
      </c>
      <c r="C1034" s="7" t="str">
        <f>IFERROR(__xludf.DUMMYFUNCTION("GOOGLETRANSLATE($B1034, $A$2, $B$2)"),"20 days ago")</f>
        <v>20 days ago</v>
      </c>
      <c r="D1034" s="7" t="s">
        <v>2096</v>
      </c>
      <c r="E1034" s="7" t="s">
        <v>2097</v>
      </c>
      <c r="F1034" s="7" t="s">
        <v>218</v>
      </c>
      <c r="G1034" s="7" t="s">
        <v>260</v>
      </c>
      <c r="H1034" s="7" t="s">
        <v>261</v>
      </c>
      <c r="I1034" s="7" t="s">
        <v>261</v>
      </c>
      <c r="J1034" s="7" t="str">
        <f>IFERROR(__xludf.DUMMYFUNCTION("GOOGLETRANSLATE($I1034, ""de"", ""en"")"),"NO SALARY DATA")</f>
        <v>NO SALARY DATA</v>
      </c>
      <c r="K1034" s="7" t="s">
        <v>261</v>
      </c>
      <c r="L1034" s="7" t="s">
        <v>2098</v>
      </c>
      <c r="M1034" s="7" t="s">
        <v>414</v>
      </c>
      <c r="N1034" s="7" t="s">
        <v>399</v>
      </c>
      <c r="O1034" s="7"/>
      <c r="P1034" s="35"/>
      <c r="Q1034" s="7"/>
    </row>
    <row r="1035">
      <c r="A1035" s="7">
        <v>1030.0</v>
      </c>
      <c r="B1035" s="7" t="s">
        <v>324</v>
      </c>
      <c r="C1035" s="7" t="str">
        <f>IFERROR(__xludf.DUMMYFUNCTION("GOOGLETRANSLATE($B1035, $A$2, $B$2)"),"3 days ago")</f>
        <v>3 days ago</v>
      </c>
      <c r="D1035" s="7" t="s">
        <v>2119</v>
      </c>
      <c r="E1035" s="7" t="s">
        <v>348</v>
      </c>
      <c r="F1035" s="7" t="s">
        <v>1937</v>
      </c>
      <c r="G1035" s="7" t="s">
        <v>260</v>
      </c>
      <c r="H1035" s="7" t="s">
        <v>261</v>
      </c>
      <c r="I1035" s="7" t="s">
        <v>261</v>
      </c>
      <c r="J1035" s="7" t="str">
        <f>IFERROR(__xludf.DUMMYFUNCTION("GOOGLETRANSLATE($I1035, ""de"", ""en"")"),"NO SALARY DATA")</f>
        <v>NO SALARY DATA</v>
      </c>
      <c r="K1035" s="7" t="s">
        <v>261</v>
      </c>
      <c r="L1035" s="7"/>
      <c r="M1035" s="7" t="s">
        <v>263</v>
      </c>
      <c r="N1035" s="7" t="s">
        <v>611</v>
      </c>
      <c r="O1035" s="7"/>
      <c r="P1035" s="37"/>
      <c r="Q1035" s="7"/>
    </row>
    <row r="1036">
      <c r="A1036" s="7">
        <v>1031.0</v>
      </c>
      <c r="B1036" s="7" t="s">
        <v>2027</v>
      </c>
      <c r="C1036" s="7" t="str">
        <f>IFERROR(__xludf.DUMMYFUNCTION("GOOGLETRANSLATE($B1036, $A$2, $B$2)"),"22 days ago")</f>
        <v>22 days ago</v>
      </c>
      <c r="D1036" s="7" t="s">
        <v>2028</v>
      </c>
      <c r="E1036" s="7" t="s">
        <v>583</v>
      </c>
      <c r="F1036" s="7" t="s">
        <v>2029</v>
      </c>
      <c r="G1036" s="7" t="s">
        <v>260</v>
      </c>
      <c r="H1036" s="7" t="s">
        <v>261</v>
      </c>
      <c r="I1036" s="7" t="s">
        <v>261</v>
      </c>
      <c r="J1036" s="7" t="str">
        <f>IFERROR(__xludf.DUMMYFUNCTION("GOOGLETRANSLATE($I1036, ""de"", ""en"")"),"NO SALARY DATA")</f>
        <v>NO SALARY DATA</v>
      </c>
      <c r="K1036" s="7" t="s">
        <v>261</v>
      </c>
      <c r="L1036" s="7" t="s">
        <v>423</v>
      </c>
      <c r="M1036" s="7" t="s">
        <v>263</v>
      </c>
      <c r="N1036" s="7" t="s">
        <v>260</v>
      </c>
      <c r="O1036" s="7"/>
      <c r="P1036" s="35"/>
      <c r="Q1036" s="7"/>
    </row>
    <row r="1037">
      <c r="A1037" s="7">
        <v>1032.0</v>
      </c>
      <c r="B1037" s="7" t="s">
        <v>2092</v>
      </c>
      <c r="C1037" s="7" t="str">
        <f>IFERROR(__xludf.DUMMYFUNCTION("GOOGLETRANSLATE($B1037, $A$2, $B$2)"),"8 days ago")</f>
        <v>8 days ago</v>
      </c>
      <c r="D1037" s="7" t="s">
        <v>2108</v>
      </c>
      <c r="E1037" s="7" t="s">
        <v>539</v>
      </c>
      <c r="F1037" s="7" t="s">
        <v>1977</v>
      </c>
      <c r="G1037" s="7" t="s">
        <v>260</v>
      </c>
      <c r="H1037" s="7" t="s">
        <v>261</v>
      </c>
      <c r="I1037" s="7" t="s">
        <v>261</v>
      </c>
      <c r="J1037" s="7" t="str">
        <f>IFERROR(__xludf.DUMMYFUNCTION("GOOGLETRANSLATE($I1037, ""de"", ""en"")"),"NO SALARY DATA")</f>
        <v>NO SALARY DATA</v>
      </c>
      <c r="K1037" s="7" t="s">
        <v>261</v>
      </c>
      <c r="L1037" s="7" t="s">
        <v>455</v>
      </c>
      <c r="M1037" s="7" t="s">
        <v>263</v>
      </c>
      <c r="N1037" s="7" t="s">
        <v>331</v>
      </c>
      <c r="O1037" s="7"/>
      <c r="P1037" s="37"/>
      <c r="Q1037" s="7"/>
    </row>
    <row r="1038">
      <c r="A1038" s="7">
        <v>1033.0</v>
      </c>
      <c r="B1038" s="7" t="s">
        <v>269</v>
      </c>
      <c r="C1038" s="7" t="str">
        <f>IFERROR(__xludf.DUMMYFUNCTION("GOOGLETRANSLATE($B1038, $A$2, $B$2)"),"5 days ago")</f>
        <v>5 days ago</v>
      </c>
      <c r="D1038" s="7" t="s">
        <v>2057</v>
      </c>
      <c r="E1038" s="7" t="s">
        <v>348</v>
      </c>
      <c r="F1038" s="7" t="s">
        <v>2058</v>
      </c>
      <c r="G1038" s="7" t="s">
        <v>260</v>
      </c>
      <c r="H1038" s="7" t="s">
        <v>261</v>
      </c>
      <c r="I1038" s="7" t="s">
        <v>261</v>
      </c>
      <c r="J1038" s="7" t="str">
        <f>IFERROR(__xludf.DUMMYFUNCTION("GOOGLETRANSLATE($I1038, ""de"", ""en"")"),"NO SALARY DATA")</f>
        <v>NO SALARY DATA</v>
      </c>
      <c r="K1038" s="7" t="s">
        <v>261</v>
      </c>
      <c r="L1038" s="7" t="s">
        <v>1512</v>
      </c>
      <c r="M1038" s="7" t="s">
        <v>452</v>
      </c>
      <c r="N1038" s="7" t="s">
        <v>260</v>
      </c>
      <c r="O1038" s="7"/>
      <c r="P1038" s="37"/>
      <c r="Q1038" s="7"/>
    </row>
    <row r="1039">
      <c r="A1039" s="7">
        <v>1034.0</v>
      </c>
      <c r="B1039" s="7" t="s">
        <v>346</v>
      </c>
      <c r="C1039" s="7" t="str">
        <f>IFERROR(__xludf.DUMMYFUNCTION("GOOGLETRANSLATE($B1039, $A$2, $B$2)"),"12 days ago")</f>
        <v>12 days ago</v>
      </c>
      <c r="D1039" s="7" t="s">
        <v>2040</v>
      </c>
      <c r="E1039" s="7" t="s">
        <v>1944</v>
      </c>
      <c r="F1039" s="7" t="s">
        <v>2041</v>
      </c>
      <c r="G1039" s="7" t="s">
        <v>260</v>
      </c>
      <c r="H1039" s="7" t="s">
        <v>261</v>
      </c>
      <c r="I1039" s="7" t="s">
        <v>261</v>
      </c>
      <c r="J1039" s="7" t="str">
        <f>IFERROR(__xludf.DUMMYFUNCTION("GOOGLETRANSLATE($I1039, ""de"", ""en"")"),"NO SALARY DATA")</f>
        <v>NO SALARY DATA</v>
      </c>
      <c r="K1039" s="7" t="s">
        <v>261</v>
      </c>
      <c r="L1039" s="7" t="s">
        <v>423</v>
      </c>
      <c r="M1039" s="7" t="s">
        <v>263</v>
      </c>
      <c r="N1039" s="7" t="s">
        <v>260</v>
      </c>
      <c r="O1039" s="7"/>
      <c r="P1039" s="37"/>
      <c r="Q1039" s="7"/>
    </row>
    <row r="1040">
      <c r="A1040" s="7">
        <v>1035.0</v>
      </c>
      <c r="B1040" s="7" t="s">
        <v>559</v>
      </c>
      <c r="C1040" s="7" t="str">
        <f>IFERROR(__xludf.DUMMYFUNCTION("GOOGLETRANSLATE($B1040, $A$2, $B$2)"),"18 days ago")</f>
        <v>18 days ago</v>
      </c>
      <c r="D1040" s="7" t="s">
        <v>2024</v>
      </c>
      <c r="E1040" s="7" t="s">
        <v>439</v>
      </c>
      <c r="F1040" s="7" t="s">
        <v>2025</v>
      </c>
      <c r="G1040" s="7" t="s">
        <v>260</v>
      </c>
      <c r="H1040" s="7" t="s">
        <v>261</v>
      </c>
      <c r="I1040" s="7" t="s">
        <v>261</v>
      </c>
      <c r="J1040" s="7" t="str">
        <f>IFERROR(__xludf.DUMMYFUNCTION("GOOGLETRANSLATE($I1040, ""de"", ""en"")"),"NO SALARY DATA")</f>
        <v>NO SALARY DATA</v>
      </c>
      <c r="K1040" s="7" t="s">
        <v>261</v>
      </c>
      <c r="L1040" s="7" t="s">
        <v>649</v>
      </c>
      <c r="M1040" s="7" t="s">
        <v>263</v>
      </c>
      <c r="N1040" s="7" t="s">
        <v>260</v>
      </c>
      <c r="O1040" s="7"/>
      <c r="P1040" s="37"/>
      <c r="Q1040" s="7"/>
    </row>
    <row r="1041">
      <c r="A1041" s="7">
        <v>1036.0</v>
      </c>
      <c r="B1041" s="7" t="s">
        <v>371</v>
      </c>
      <c r="C1041" s="7" t="str">
        <f>IFERROR(__xludf.DUMMYFUNCTION("GOOGLETRANSLATE($B1041, $A$2, $B$2)"),"Straight")</f>
        <v>Straight</v>
      </c>
      <c r="D1041" s="7" t="s">
        <v>2120</v>
      </c>
      <c r="E1041" s="7" t="s">
        <v>348</v>
      </c>
      <c r="F1041" s="7" t="s">
        <v>2121</v>
      </c>
      <c r="G1041" s="7" t="s">
        <v>870</v>
      </c>
      <c r="H1041" s="7">
        <v>60000.0</v>
      </c>
      <c r="I1041" s="7" t="s">
        <v>384</v>
      </c>
      <c r="J1041" s="7" t="str">
        <f>IFERROR(__xludf.DUMMYFUNCTION("GOOGLETRANSLATE($I1041, ""de"", ""en"")"),"year")</f>
        <v>year</v>
      </c>
      <c r="K1041" s="7">
        <v>60000.0</v>
      </c>
      <c r="L1041" s="7" t="s">
        <v>345</v>
      </c>
      <c r="M1041" s="7" t="s">
        <v>263</v>
      </c>
      <c r="N1041" s="7" t="s">
        <v>260</v>
      </c>
      <c r="O1041" s="7"/>
      <c r="P1041" s="37"/>
      <c r="Q1041" s="7"/>
    </row>
    <row r="1042">
      <c r="A1042" s="7">
        <v>1037.0</v>
      </c>
      <c r="B1042" s="7" t="s">
        <v>265</v>
      </c>
      <c r="C1042" s="7" t="str">
        <f>IFERROR(__xludf.DUMMYFUNCTION("GOOGLETRANSLATE($B1042, $A$2, $B$2)"),"More than 30 days ago")</f>
        <v>More than 30 days ago</v>
      </c>
      <c r="D1042" s="7" t="s">
        <v>2122</v>
      </c>
      <c r="E1042" s="7" t="s">
        <v>1241</v>
      </c>
      <c r="F1042" s="7" t="s">
        <v>2123</v>
      </c>
      <c r="G1042" s="7" t="s">
        <v>260</v>
      </c>
      <c r="H1042" s="7" t="s">
        <v>261</v>
      </c>
      <c r="I1042" s="7" t="s">
        <v>261</v>
      </c>
      <c r="J1042" s="7" t="str">
        <f>IFERROR(__xludf.DUMMYFUNCTION("GOOGLETRANSLATE($I1042, ""de"", ""en"")"),"NO SALARY DATA")</f>
        <v>NO SALARY DATA</v>
      </c>
      <c r="K1042" s="7" t="s">
        <v>261</v>
      </c>
      <c r="L1042" s="7" t="s">
        <v>286</v>
      </c>
      <c r="M1042" s="7" t="s">
        <v>263</v>
      </c>
      <c r="N1042" s="7" t="s">
        <v>260</v>
      </c>
      <c r="O1042" s="7"/>
      <c r="P1042" s="37"/>
      <c r="Q1042" s="7"/>
    </row>
    <row r="1043">
      <c r="A1043" s="7">
        <v>1038.0</v>
      </c>
      <c r="B1043" s="7" t="s">
        <v>375</v>
      </c>
      <c r="C1043" s="7" t="str">
        <f>IFERROR(__xludf.DUMMYFUNCTION("GOOGLETRANSLATE($B1043, $A$2, $B$2)"),"6 days ago")</f>
        <v>6 days ago</v>
      </c>
      <c r="D1043" s="7" t="s">
        <v>1993</v>
      </c>
      <c r="E1043" s="7" t="s">
        <v>993</v>
      </c>
      <c r="F1043" s="7" t="s">
        <v>1994</v>
      </c>
      <c r="G1043" s="7" t="s">
        <v>260</v>
      </c>
      <c r="H1043" s="7" t="s">
        <v>261</v>
      </c>
      <c r="I1043" s="7" t="s">
        <v>261</v>
      </c>
      <c r="J1043" s="7" t="str">
        <f>IFERROR(__xludf.DUMMYFUNCTION("GOOGLETRANSLATE($I1043, ""de"", ""en"")"),"NO SALARY DATA")</f>
        <v>NO SALARY DATA</v>
      </c>
      <c r="K1043" s="7" t="s">
        <v>261</v>
      </c>
      <c r="L1043" s="7" t="s">
        <v>777</v>
      </c>
      <c r="M1043" s="7" t="s">
        <v>263</v>
      </c>
      <c r="N1043" s="7" t="s">
        <v>260</v>
      </c>
      <c r="O1043" s="7"/>
      <c r="P1043" s="37"/>
      <c r="Q1043" s="7"/>
    </row>
    <row r="1044">
      <c r="A1044" s="7">
        <v>1039.0</v>
      </c>
      <c r="B1044" s="7" t="s">
        <v>288</v>
      </c>
      <c r="C1044" s="7" t="str">
        <f>IFERROR(__xludf.DUMMYFUNCTION("GOOGLETRANSLATE($B1044, $A$2, $B$2)"),"2 days ago")</f>
        <v>2 days ago</v>
      </c>
      <c r="D1044" s="7" t="s">
        <v>2124</v>
      </c>
      <c r="E1044" s="7" t="s">
        <v>408</v>
      </c>
      <c r="F1044" s="7" t="s">
        <v>2125</v>
      </c>
      <c r="G1044" s="7" t="s">
        <v>260</v>
      </c>
      <c r="H1044" s="7" t="s">
        <v>261</v>
      </c>
      <c r="I1044" s="7" t="s">
        <v>261</v>
      </c>
      <c r="J1044" s="7" t="str">
        <f>IFERROR(__xludf.DUMMYFUNCTION("GOOGLETRANSLATE($I1044, ""de"", ""en"")"),"NO SALARY DATA")</f>
        <v>NO SALARY DATA</v>
      </c>
      <c r="K1044" s="7" t="s">
        <v>261</v>
      </c>
      <c r="L1044" s="7" t="s">
        <v>312</v>
      </c>
      <c r="M1044" s="7" t="s">
        <v>263</v>
      </c>
      <c r="N1044" s="7" t="s">
        <v>260</v>
      </c>
      <c r="O1044" s="7"/>
      <c r="P1044" s="37"/>
      <c r="Q1044" s="7"/>
    </row>
    <row r="1045">
      <c r="A1045" s="7">
        <v>1040.0</v>
      </c>
      <c r="B1045" s="7" t="s">
        <v>533</v>
      </c>
      <c r="C1045" s="7" t="str">
        <f>IFERROR(__xludf.DUMMYFUNCTION("GOOGLETRANSLATE($B1045, $A$2, $B$2)"),"11 days ago")</f>
        <v>11 days ago</v>
      </c>
      <c r="D1045" s="7" t="s">
        <v>2017</v>
      </c>
      <c r="E1045" s="7" t="s">
        <v>2018</v>
      </c>
      <c r="F1045" s="7" t="s">
        <v>2019</v>
      </c>
      <c r="G1045" s="7" t="s">
        <v>260</v>
      </c>
      <c r="H1045" s="7" t="s">
        <v>261</v>
      </c>
      <c r="I1045" s="7" t="s">
        <v>261</v>
      </c>
      <c r="J1045" s="7" t="str">
        <f>IFERROR(__xludf.DUMMYFUNCTION("GOOGLETRANSLATE($I1045, ""de"", ""en"")"),"NO SALARY DATA")</f>
        <v>NO SALARY DATA</v>
      </c>
      <c r="K1045" s="7" t="s">
        <v>261</v>
      </c>
      <c r="L1045" s="7"/>
      <c r="M1045" s="7" t="s">
        <v>263</v>
      </c>
      <c r="N1045" s="7" t="s">
        <v>260</v>
      </c>
      <c r="O1045" s="7"/>
      <c r="P1045" s="37"/>
      <c r="Q1045" s="7"/>
    </row>
    <row r="1046">
      <c r="A1046" s="7">
        <v>1041.0</v>
      </c>
      <c r="B1046" s="7" t="s">
        <v>375</v>
      </c>
      <c r="C1046" s="7" t="str">
        <f>IFERROR(__xludf.DUMMYFUNCTION("GOOGLETRANSLATE($B1046, $A$2, $B$2)"),"6 days ago")</f>
        <v>6 days ago</v>
      </c>
      <c r="D1046" s="7" t="s">
        <v>1967</v>
      </c>
      <c r="E1046" s="7" t="s">
        <v>1968</v>
      </c>
      <c r="F1046" s="7" t="s">
        <v>1969</v>
      </c>
      <c r="G1046" s="7" t="s">
        <v>260</v>
      </c>
      <c r="H1046" s="7" t="s">
        <v>261</v>
      </c>
      <c r="I1046" s="7" t="s">
        <v>261</v>
      </c>
      <c r="J1046" s="7" t="str">
        <f>IFERROR(__xludf.DUMMYFUNCTION("GOOGLETRANSLATE($I1046, ""de"", ""en"")"),"NO SALARY DATA")</f>
        <v>NO SALARY DATA</v>
      </c>
      <c r="K1046" s="7" t="s">
        <v>261</v>
      </c>
      <c r="L1046" s="7" t="s">
        <v>649</v>
      </c>
      <c r="M1046" s="7" t="s">
        <v>263</v>
      </c>
      <c r="N1046" s="7" t="s">
        <v>260</v>
      </c>
      <c r="O1046" s="7"/>
      <c r="P1046" s="37"/>
      <c r="Q1046" s="7"/>
    </row>
    <row r="1047">
      <c r="A1047" s="7">
        <v>1042.0</v>
      </c>
      <c r="B1047" s="7" t="s">
        <v>375</v>
      </c>
      <c r="C1047" s="7" t="str">
        <f>IFERROR(__xludf.DUMMYFUNCTION("GOOGLETRANSLATE($B1047, $A$2, $B$2)"),"6 days ago")</f>
        <v>6 days ago</v>
      </c>
      <c r="D1047" s="7" t="s">
        <v>2126</v>
      </c>
      <c r="E1047" s="7" t="s">
        <v>2127</v>
      </c>
      <c r="F1047" s="7" t="s">
        <v>2128</v>
      </c>
      <c r="G1047" s="7" t="s">
        <v>260</v>
      </c>
      <c r="H1047" s="7" t="s">
        <v>261</v>
      </c>
      <c r="I1047" s="7" t="s">
        <v>261</v>
      </c>
      <c r="J1047" s="7" t="str">
        <f>IFERROR(__xludf.DUMMYFUNCTION("GOOGLETRANSLATE($I1047, ""de"", ""en"")"),"NO SALARY DATA")</f>
        <v>NO SALARY DATA</v>
      </c>
      <c r="K1047" s="7" t="s">
        <v>261</v>
      </c>
      <c r="L1047" s="7" t="s">
        <v>455</v>
      </c>
      <c r="M1047" s="7" t="s">
        <v>263</v>
      </c>
      <c r="N1047" s="7" t="s">
        <v>260</v>
      </c>
      <c r="O1047" s="7"/>
      <c r="P1047" s="37"/>
      <c r="Q1047" s="7"/>
    </row>
    <row r="1048">
      <c r="A1048" s="7">
        <v>1043.0</v>
      </c>
      <c r="B1048" s="7" t="s">
        <v>341</v>
      </c>
      <c r="C1048" s="7" t="str">
        <f>IFERROR(__xludf.DUMMYFUNCTION("GOOGLETRANSLATE($B1048, $A$2, $B$2)"),"before 14 days")</f>
        <v>before 14 days</v>
      </c>
      <c r="D1048" s="7" t="s">
        <v>847</v>
      </c>
      <c r="E1048" s="7" t="s">
        <v>401</v>
      </c>
      <c r="F1048" s="7" t="s">
        <v>1962</v>
      </c>
      <c r="G1048" s="7" t="s">
        <v>260</v>
      </c>
      <c r="H1048" s="7" t="s">
        <v>261</v>
      </c>
      <c r="I1048" s="7" t="s">
        <v>261</v>
      </c>
      <c r="J1048" s="7" t="str">
        <f>IFERROR(__xludf.DUMMYFUNCTION("GOOGLETRANSLATE($I1048, ""de"", ""en"")"),"NO SALARY DATA")</f>
        <v>NO SALARY DATA</v>
      </c>
      <c r="K1048" s="7" t="s">
        <v>261</v>
      </c>
      <c r="L1048" s="7" t="s">
        <v>286</v>
      </c>
      <c r="M1048" s="7" t="s">
        <v>263</v>
      </c>
      <c r="N1048" s="7" t="s">
        <v>260</v>
      </c>
      <c r="O1048" s="7"/>
      <c r="P1048" s="37"/>
      <c r="Q1048" s="7"/>
    </row>
    <row r="1049">
      <c r="A1049" s="7">
        <v>1044.0</v>
      </c>
      <c r="B1049" s="7" t="s">
        <v>256</v>
      </c>
      <c r="C1049" s="7" t="str">
        <f>IFERROR(__xludf.DUMMYFUNCTION("GOOGLETRANSLATE($B1049, $A$2, $B$2)"),"7 days ago")</f>
        <v>7 days ago</v>
      </c>
      <c r="D1049" s="7" t="s">
        <v>2129</v>
      </c>
      <c r="E1049" s="7" t="s">
        <v>2130</v>
      </c>
      <c r="F1049" s="7" t="s">
        <v>2131</v>
      </c>
      <c r="G1049" s="7" t="s">
        <v>260</v>
      </c>
      <c r="H1049" s="7" t="s">
        <v>261</v>
      </c>
      <c r="I1049" s="7" t="s">
        <v>261</v>
      </c>
      <c r="J1049" s="7" t="str">
        <f>IFERROR(__xludf.DUMMYFUNCTION("GOOGLETRANSLATE($I1049, ""de"", ""en"")"),"NO SALARY DATA")</f>
        <v>NO SALARY DATA</v>
      </c>
      <c r="K1049" s="7" t="s">
        <v>261</v>
      </c>
      <c r="L1049" s="7" t="s">
        <v>649</v>
      </c>
      <c r="M1049" s="7" t="s">
        <v>263</v>
      </c>
      <c r="N1049" s="7" t="s">
        <v>260</v>
      </c>
      <c r="O1049" s="7"/>
      <c r="P1049" s="35"/>
      <c r="Q1049" s="7"/>
    </row>
    <row r="1050">
      <c r="A1050" s="7">
        <v>1045.0</v>
      </c>
      <c r="B1050" s="7" t="s">
        <v>469</v>
      </c>
      <c r="C1050" s="7" t="str">
        <f>IFERROR(__xludf.DUMMYFUNCTION("GOOGLETRANSLATE($B1050, $A$2, $B$2)"),"19 days ago")</f>
        <v>19 days ago</v>
      </c>
      <c r="D1050" s="7" t="s">
        <v>283</v>
      </c>
      <c r="E1050" s="7" t="s">
        <v>1241</v>
      </c>
      <c r="F1050" s="7" t="s">
        <v>1867</v>
      </c>
      <c r="G1050" s="7" t="s">
        <v>260</v>
      </c>
      <c r="H1050" s="7" t="s">
        <v>261</v>
      </c>
      <c r="I1050" s="7" t="s">
        <v>261</v>
      </c>
      <c r="J1050" s="7" t="str">
        <f>IFERROR(__xludf.DUMMYFUNCTION("GOOGLETRANSLATE($I1050, ""de"", ""en"")"),"NO SALARY DATA")</f>
        <v>NO SALARY DATA</v>
      </c>
      <c r="K1050" s="7" t="s">
        <v>261</v>
      </c>
      <c r="L1050" s="7" t="s">
        <v>312</v>
      </c>
      <c r="M1050" s="7" t="s">
        <v>263</v>
      </c>
      <c r="N1050" s="7" t="s">
        <v>323</v>
      </c>
      <c r="O1050" s="7"/>
      <c r="P1050" s="37"/>
      <c r="Q1050" s="7"/>
    </row>
    <row r="1051">
      <c r="A1051" s="7">
        <v>1046.0</v>
      </c>
      <c r="B1051" s="7" t="s">
        <v>448</v>
      </c>
      <c r="C1051" s="7" t="str">
        <f>IFERROR(__xludf.DUMMYFUNCTION("GOOGLETRANSLATE($B1051, $A$2, $B$2)"),"23 days ago")</f>
        <v>23 days ago</v>
      </c>
      <c r="D1051" s="7" t="s">
        <v>1941</v>
      </c>
      <c r="E1051" s="7" t="s">
        <v>1462</v>
      </c>
      <c r="F1051" s="7" t="s">
        <v>1942</v>
      </c>
      <c r="G1051" s="7" t="s">
        <v>260</v>
      </c>
      <c r="H1051" s="7" t="s">
        <v>261</v>
      </c>
      <c r="I1051" s="7" t="s">
        <v>261</v>
      </c>
      <c r="J1051" s="7" t="str">
        <f>IFERROR(__xludf.DUMMYFUNCTION("GOOGLETRANSLATE($I1051, ""de"", ""en"")"),"NO SALARY DATA")</f>
        <v>NO SALARY DATA</v>
      </c>
      <c r="K1051" s="7" t="s">
        <v>261</v>
      </c>
      <c r="L1051" s="7" t="s">
        <v>649</v>
      </c>
      <c r="M1051" s="7" t="s">
        <v>263</v>
      </c>
      <c r="N1051" s="7" t="s">
        <v>260</v>
      </c>
      <c r="O1051" s="7"/>
      <c r="P1051" s="37"/>
      <c r="Q1051" s="7"/>
    </row>
    <row r="1052">
      <c r="A1052" s="7">
        <v>1047.0</v>
      </c>
      <c r="B1052" s="7" t="s">
        <v>375</v>
      </c>
      <c r="C1052" s="7" t="str">
        <f>IFERROR(__xludf.DUMMYFUNCTION("GOOGLETRANSLATE($B1052, $A$2, $B$2)"),"6 days ago")</f>
        <v>6 days ago</v>
      </c>
      <c r="D1052" s="7" t="s">
        <v>1967</v>
      </c>
      <c r="E1052" s="7" t="s">
        <v>1968</v>
      </c>
      <c r="F1052" s="7" t="s">
        <v>1969</v>
      </c>
      <c r="G1052" s="7" t="s">
        <v>260</v>
      </c>
      <c r="H1052" s="7" t="s">
        <v>261</v>
      </c>
      <c r="I1052" s="7" t="s">
        <v>261</v>
      </c>
      <c r="J1052" s="7" t="str">
        <f>IFERROR(__xludf.DUMMYFUNCTION("GOOGLETRANSLATE($I1052, ""de"", ""en"")"),"NO SALARY DATA")</f>
        <v>NO SALARY DATA</v>
      </c>
      <c r="K1052" s="7" t="s">
        <v>261</v>
      </c>
      <c r="L1052" s="7" t="s">
        <v>649</v>
      </c>
      <c r="M1052" s="7" t="s">
        <v>263</v>
      </c>
      <c r="N1052" s="7" t="s">
        <v>260</v>
      </c>
      <c r="O1052" s="7"/>
      <c r="P1052" s="35"/>
      <c r="Q1052" s="7"/>
    </row>
    <row r="1053">
      <c r="A1053" s="7">
        <v>1048.0</v>
      </c>
      <c r="B1053" s="7" t="s">
        <v>533</v>
      </c>
      <c r="C1053" s="7" t="str">
        <f>IFERROR(__xludf.DUMMYFUNCTION("GOOGLETRANSLATE($B1053, $A$2, $B$2)"),"11 days ago")</f>
        <v>11 days ago</v>
      </c>
      <c r="D1053" s="7" t="s">
        <v>1956</v>
      </c>
      <c r="E1053" s="7" t="s">
        <v>280</v>
      </c>
      <c r="F1053" s="7" t="s">
        <v>1937</v>
      </c>
      <c r="G1053" s="7" t="s">
        <v>1957</v>
      </c>
      <c r="H1053" s="7">
        <v>60000.0</v>
      </c>
      <c r="I1053" s="7" t="s">
        <v>384</v>
      </c>
      <c r="J1053" s="7" t="str">
        <f>IFERROR(__xludf.DUMMYFUNCTION("GOOGLETRANSLATE($I1053, ""de"", ""en"")"),"year")</f>
        <v>year</v>
      </c>
      <c r="K1053" s="7">
        <v>60000.0</v>
      </c>
      <c r="L1053" s="7" t="s">
        <v>327</v>
      </c>
      <c r="M1053" s="7" t="s">
        <v>263</v>
      </c>
      <c r="N1053" s="7" t="s">
        <v>611</v>
      </c>
      <c r="O1053" s="7"/>
      <c r="P1053" s="37"/>
      <c r="Q1053" s="7"/>
    </row>
    <row r="1054">
      <c r="A1054" s="7">
        <v>1049.0</v>
      </c>
      <c r="B1054" s="7" t="s">
        <v>265</v>
      </c>
      <c r="C1054" s="7" t="str">
        <f>IFERROR(__xludf.DUMMYFUNCTION("GOOGLETRANSLATE($B1054, $A$2, $B$2)"),"More than 30 days ago")</f>
        <v>More than 30 days ago</v>
      </c>
      <c r="D1054" s="7" t="s">
        <v>2024</v>
      </c>
      <c r="E1054" s="7" t="s">
        <v>439</v>
      </c>
      <c r="F1054" s="7" t="s">
        <v>2025</v>
      </c>
      <c r="G1054" s="7" t="s">
        <v>260</v>
      </c>
      <c r="H1054" s="7" t="s">
        <v>261</v>
      </c>
      <c r="I1054" s="7" t="s">
        <v>261</v>
      </c>
      <c r="J1054" s="7" t="str">
        <f>IFERROR(__xludf.DUMMYFUNCTION("GOOGLETRANSLATE($I1054, ""de"", ""en"")"),"NO SALARY DATA")</f>
        <v>NO SALARY DATA</v>
      </c>
      <c r="K1054" s="7" t="s">
        <v>261</v>
      </c>
      <c r="L1054" s="7" t="s">
        <v>649</v>
      </c>
      <c r="M1054" s="7" t="s">
        <v>263</v>
      </c>
      <c r="N1054" s="7" t="s">
        <v>260</v>
      </c>
      <c r="O1054" s="7"/>
      <c r="P1054" s="37"/>
      <c r="Q1054" s="7"/>
    </row>
    <row r="1055">
      <c r="A1055" s="7">
        <v>1050.0</v>
      </c>
      <c r="B1055" s="7" t="s">
        <v>341</v>
      </c>
      <c r="C1055" s="7" t="str">
        <f>IFERROR(__xludf.DUMMYFUNCTION("GOOGLETRANSLATE($B1055, $A$2, $B$2)"),"before 14 days")</f>
        <v>before 14 days</v>
      </c>
      <c r="D1055" s="7" t="s">
        <v>706</v>
      </c>
      <c r="E1055" s="7" t="s">
        <v>1462</v>
      </c>
      <c r="F1055" s="7" t="s">
        <v>1942</v>
      </c>
      <c r="G1055" s="7" t="s">
        <v>260</v>
      </c>
      <c r="H1055" s="7" t="s">
        <v>261</v>
      </c>
      <c r="I1055" s="7" t="s">
        <v>261</v>
      </c>
      <c r="J1055" s="7" t="str">
        <f>IFERROR(__xludf.DUMMYFUNCTION("GOOGLETRANSLATE($I1055, ""de"", ""en"")"),"NO SALARY DATA")</f>
        <v>NO SALARY DATA</v>
      </c>
      <c r="K1055" s="7" t="s">
        <v>261</v>
      </c>
      <c r="L1055" s="7" t="s">
        <v>423</v>
      </c>
      <c r="M1055" s="7" t="s">
        <v>263</v>
      </c>
      <c r="N1055" s="7" t="s">
        <v>260</v>
      </c>
      <c r="O1055" s="7"/>
      <c r="P1055" s="37"/>
      <c r="Q1055" s="7"/>
    </row>
    <row r="1056">
      <c r="A1056" s="7">
        <v>1051.0</v>
      </c>
      <c r="B1056" s="7" t="s">
        <v>324</v>
      </c>
      <c r="C1056" s="7" t="str">
        <f>IFERROR(__xludf.DUMMYFUNCTION("GOOGLETRANSLATE($B1056, $A$2, $B$2)"),"3 days ago")</f>
        <v>3 days ago</v>
      </c>
      <c r="D1056" s="7" t="s">
        <v>1986</v>
      </c>
      <c r="E1056" s="7" t="s">
        <v>271</v>
      </c>
      <c r="F1056" s="7" t="s">
        <v>1987</v>
      </c>
      <c r="G1056" s="7" t="s">
        <v>260</v>
      </c>
      <c r="H1056" s="7" t="s">
        <v>261</v>
      </c>
      <c r="I1056" s="7" t="s">
        <v>261</v>
      </c>
      <c r="J1056" s="7" t="str">
        <f>IFERROR(__xludf.DUMMYFUNCTION("GOOGLETRANSLATE($I1056, ""de"", ""en"")"),"NO SALARY DATA")</f>
        <v>NO SALARY DATA</v>
      </c>
      <c r="K1056" s="7" t="s">
        <v>261</v>
      </c>
      <c r="L1056" s="7" t="s">
        <v>419</v>
      </c>
      <c r="M1056" s="7" t="s">
        <v>263</v>
      </c>
      <c r="N1056" s="7" t="s">
        <v>260</v>
      </c>
      <c r="O1056" s="7"/>
      <c r="P1056" s="37"/>
      <c r="Q1056" s="7"/>
    </row>
    <row r="1057">
      <c r="A1057" s="7">
        <v>1052.0</v>
      </c>
      <c r="B1057" s="7" t="s">
        <v>375</v>
      </c>
      <c r="C1057" s="7" t="str">
        <f>IFERROR(__xludf.DUMMYFUNCTION("GOOGLETRANSLATE($B1057, $A$2, $B$2)"),"6 days ago")</f>
        <v>6 days ago</v>
      </c>
      <c r="D1057" s="7" t="s">
        <v>1993</v>
      </c>
      <c r="E1057" s="7" t="s">
        <v>993</v>
      </c>
      <c r="F1057" s="7" t="s">
        <v>1994</v>
      </c>
      <c r="G1057" s="7" t="s">
        <v>260</v>
      </c>
      <c r="H1057" s="7" t="s">
        <v>261</v>
      </c>
      <c r="I1057" s="7" t="s">
        <v>261</v>
      </c>
      <c r="J1057" s="7" t="str">
        <f>IFERROR(__xludf.DUMMYFUNCTION("GOOGLETRANSLATE($I1057, ""de"", ""en"")"),"NO SALARY DATA")</f>
        <v>NO SALARY DATA</v>
      </c>
      <c r="K1057" s="7" t="s">
        <v>261</v>
      </c>
      <c r="L1057" s="7" t="s">
        <v>777</v>
      </c>
      <c r="M1057" s="7" t="s">
        <v>263</v>
      </c>
      <c r="N1057" s="7" t="s">
        <v>260</v>
      </c>
      <c r="O1057" s="7"/>
      <c r="P1057" s="37"/>
      <c r="Q1057" s="7"/>
    </row>
    <row r="1058">
      <c r="A1058" s="7">
        <v>1053.0</v>
      </c>
      <c r="B1058" s="7" t="s">
        <v>375</v>
      </c>
      <c r="C1058" s="7" t="str">
        <f>IFERROR(__xludf.DUMMYFUNCTION("GOOGLETRANSLATE($B1058, $A$2, $B$2)"),"6 days ago")</f>
        <v>6 days ago</v>
      </c>
      <c r="D1058" s="7" t="s">
        <v>1949</v>
      </c>
      <c r="E1058" s="7" t="s">
        <v>271</v>
      </c>
      <c r="F1058" s="7" t="s">
        <v>1950</v>
      </c>
      <c r="G1058" s="7" t="s">
        <v>260</v>
      </c>
      <c r="H1058" s="7" t="s">
        <v>261</v>
      </c>
      <c r="I1058" s="7" t="s">
        <v>261</v>
      </c>
      <c r="J1058" s="7" t="str">
        <f>IFERROR(__xludf.DUMMYFUNCTION("GOOGLETRANSLATE($I1058, ""de"", ""en"")"),"NO SALARY DATA")</f>
        <v>NO SALARY DATA</v>
      </c>
      <c r="K1058" s="7" t="s">
        <v>261</v>
      </c>
      <c r="L1058" s="7" t="s">
        <v>1951</v>
      </c>
      <c r="M1058" s="7" t="s">
        <v>452</v>
      </c>
      <c r="N1058" s="7" t="s">
        <v>260</v>
      </c>
      <c r="O1058" s="7"/>
      <c r="P1058" s="35"/>
      <c r="Q1058" s="7"/>
    </row>
    <row r="1059">
      <c r="A1059" s="7">
        <v>1054.0</v>
      </c>
      <c r="B1059" s="7" t="s">
        <v>341</v>
      </c>
      <c r="C1059" s="7" t="str">
        <f>IFERROR(__xludf.DUMMYFUNCTION("GOOGLETRANSLATE($B1059, $A$2, $B$2)"),"before 14 days")</f>
        <v>before 14 days</v>
      </c>
      <c r="D1059" s="7" t="s">
        <v>2030</v>
      </c>
      <c r="E1059" s="7" t="s">
        <v>539</v>
      </c>
      <c r="F1059" s="7" t="s">
        <v>2031</v>
      </c>
      <c r="G1059" s="7" t="s">
        <v>260</v>
      </c>
      <c r="H1059" s="7" t="s">
        <v>261</v>
      </c>
      <c r="I1059" s="7" t="s">
        <v>261</v>
      </c>
      <c r="J1059" s="7" t="str">
        <f>IFERROR(__xludf.DUMMYFUNCTION("GOOGLETRANSLATE($I1059, ""de"", ""en"")"),"NO SALARY DATA")</f>
        <v>NO SALARY DATA</v>
      </c>
      <c r="K1059" s="7" t="s">
        <v>261</v>
      </c>
      <c r="L1059" s="7" t="s">
        <v>2032</v>
      </c>
      <c r="M1059" s="7" t="s">
        <v>263</v>
      </c>
      <c r="N1059" s="7" t="s">
        <v>336</v>
      </c>
      <c r="O1059" s="7"/>
      <c r="P1059" s="37"/>
      <c r="Q1059" s="7"/>
    </row>
    <row r="1060">
      <c r="A1060" s="7">
        <v>1055.0</v>
      </c>
      <c r="B1060" s="7" t="s">
        <v>288</v>
      </c>
      <c r="C1060" s="7" t="str">
        <f>IFERROR(__xludf.DUMMYFUNCTION("GOOGLETRANSLATE($B1060, $A$2, $B$2)"),"2 days ago")</f>
        <v>2 days ago</v>
      </c>
      <c r="D1060" s="7" t="s">
        <v>2132</v>
      </c>
      <c r="E1060" s="7" t="s">
        <v>352</v>
      </c>
      <c r="F1060" s="7" t="s">
        <v>1987</v>
      </c>
      <c r="G1060" s="7" t="s">
        <v>260</v>
      </c>
      <c r="H1060" s="7" t="s">
        <v>261</v>
      </c>
      <c r="I1060" s="7" t="s">
        <v>261</v>
      </c>
      <c r="J1060" s="7" t="str">
        <f>IFERROR(__xludf.DUMMYFUNCTION("GOOGLETRANSLATE($I1060, ""de"", ""en"")"),"NO SALARY DATA")</f>
        <v>NO SALARY DATA</v>
      </c>
      <c r="K1060" s="7" t="s">
        <v>261</v>
      </c>
      <c r="L1060" s="7" t="s">
        <v>282</v>
      </c>
      <c r="M1060" s="7" t="s">
        <v>263</v>
      </c>
      <c r="N1060" s="7" t="s">
        <v>260</v>
      </c>
      <c r="O1060" s="7"/>
      <c r="P1060" s="37"/>
      <c r="Q1060" s="7"/>
    </row>
    <row r="1061">
      <c r="A1061" s="7">
        <v>1056.0</v>
      </c>
      <c r="B1061" s="7" t="s">
        <v>2133</v>
      </c>
      <c r="C1061" s="7" t="str">
        <f>IFERROR(__xludf.DUMMYFUNCTION("GOOGLETRANSLATE($B1061, $A$2, $B$2)"),"15 days ago")</f>
        <v>15 days ago</v>
      </c>
      <c r="D1061" s="7" t="s">
        <v>2006</v>
      </c>
      <c r="E1061" s="7" t="s">
        <v>271</v>
      </c>
      <c r="F1061" s="7" t="s">
        <v>2000</v>
      </c>
      <c r="G1061" s="7" t="s">
        <v>260</v>
      </c>
      <c r="H1061" s="7" t="s">
        <v>261</v>
      </c>
      <c r="I1061" s="7" t="s">
        <v>261</v>
      </c>
      <c r="J1061" s="7" t="str">
        <f>IFERROR(__xludf.DUMMYFUNCTION("GOOGLETRANSLATE($I1061, ""de"", ""en"")"),"NO SALARY DATA")</f>
        <v>NO SALARY DATA</v>
      </c>
      <c r="K1061" s="7" t="s">
        <v>261</v>
      </c>
      <c r="L1061" s="7" t="s">
        <v>286</v>
      </c>
      <c r="M1061" s="7" t="s">
        <v>263</v>
      </c>
      <c r="N1061" s="7" t="s">
        <v>260</v>
      </c>
      <c r="O1061" s="7"/>
      <c r="P1061" s="37"/>
      <c r="Q1061" s="7"/>
    </row>
    <row r="1062">
      <c r="A1062" s="7">
        <v>1057.0</v>
      </c>
      <c r="B1062" s="7" t="s">
        <v>302</v>
      </c>
      <c r="C1062" s="7" t="str">
        <f>IFERROR(__xludf.DUMMYFUNCTION("GOOGLETRANSLATE($B1062, $A$2, $B$2)"),"today")</f>
        <v>today</v>
      </c>
      <c r="D1062" s="7" t="s">
        <v>2134</v>
      </c>
      <c r="E1062" s="7" t="s">
        <v>548</v>
      </c>
      <c r="F1062" s="7" t="s">
        <v>2135</v>
      </c>
      <c r="G1062" s="7" t="s">
        <v>260</v>
      </c>
      <c r="H1062" s="7" t="s">
        <v>261</v>
      </c>
      <c r="I1062" s="7" t="s">
        <v>261</v>
      </c>
      <c r="J1062" s="7" t="str">
        <f>IFERROR(__xludf.DUMMYFUNCTION("GOOGLETRANSLATE($I1062, ""de"", ""en"")"),"NO SALARY DATA")</f>
        <v>NO SALARY DATA</v>
      </c>
      <c r="K1062" s="7" t="s">
        <v>261</v>
      </c>
      <c r="L1062" s="7" t="s">
        <v>1373</v>
      </c>
      <c r="M1062" s="7" t="s">
        <v>263</v>
      </c>
      <c r="N1062" s="7" t="s">
        <v>260</v>
      </c>
      <c r="O1062" s="7"/>
      <c r="P1062" s="37"/>
      <c r="Q1062" s="7"/>
    </row>
    <row r="1063">
      <c r="A1063" s="7">
        <v>1058.0</v>
      </c>
      <c r="B1063" s="7" t="s">
        <v>392</v>
      </c>
      <c r="C1063" s="7" t="str">
        <f>IFERROR(__xludf.DUMMYFUNCTION("GOOGLETRANSLATE($B1063, $A$2, $B$2)"),"10 days ago")</f>
        <v>10 days ago</v>
      </c>
      <c r="D1063" s="7" t="s">
        <v>1943</v>
      </c>
      <c r="E1063" s="7" t="s">
        <v>1944</v>
      </c>
      <c r="F1063" s="7" t="s">
        <v>1945</v>
      </c>
      <c r="G1063" s="7" t="s">
        <v>260</v>
      </c>
      <c r="H1063" s="7" t="s">
        <v>261</v>
      </c>
      <c r="I1063" s="7" t="s">
        <v>261</v>
      </c>
      <c r="J1063" s="7" t="str">
        <f>IFERROR(__xludf.DUMMYFUNCTION("GOOGLETRANSLATE($I1063, ""de"", ""en"")"),"NO SALARY DATA")</f>
        <v>NO SALARY DATA</v>
      </c>
      <c r="K1063" s="7" t="s">
        <v>261</v>
      </c>
      <c r="L1063" s="7" t="s">
        <v>777</v>
      </c>
      <c r="M1063" s="7" t="s">
        <v>263</v>
      </c>
      <c r="N1063" s="7" t="s">
        <v>260</v>
      </c>
      <c r="O1063" s="7"/>
      <c r="P1063" s="37"/>
      <c r="Q1063" s="7"/>
    </row>
    <row r="1064">
      <c r="A1064" s="7">
        <v>1059.0</v>
      </c>
      <c r="B1064" s="7" t="s">
        <v>288</v>
      </c>
      <c r="C1064" s="7" t="str">
        <f>IFERROR(__xludf.DUMMYFUNCTION("GOOGLETRANSLATE($B1064, $A$2, $B$2)"),"2 days ago")</f>
        <v>2 days ago</v>
      </c>
      <c r="D1064" s="7" t="s">
        <v>2055</v>
      </c>
      <c r="E1064" s="7" t="s">
        <v>735</v>
      </c>
      <c r="F1064" s="7" t="s">
        <v>2056</v>
      </c>
      <c r="G1064" s="7" t="s">
        <v>260</v>
      </c>
      <c r="H1064" s="7" t="s">
        <v>261</v>
      </c>
      <c r="I1064" s="7" t="s">
        <v>261</v>
      </c>
      <c r="J1064" s="7" t="str">
        <f>IFERROR(__xludf.DUMMYFUNCTION("GOOGLETRANSLATE($I1064, ""de"", ""en"")"),"NO SALARY DATA")</f>
        <v>NO SALARY DATA</v>
      </c>
      <c r="K1064" s="7" t="s">
        <v>261</v>
      </c>
      <c r="L1064" s="7"/>
      <c r="M1064" s="7" t="s">
        <v>263</v>
      </c>
      <c r="N1064" s="7" t="s">
        <v>260</v>
      </c>
      <c r="O1064" s="7"/>
      <c r="P1064" s="37"/>
      <c r="Q1064" s="7"/>
    </row>
    <row r="1065">
      <c r="A1065" s="7">
        <v>1060.0</v>
      </c>
      <c r="B1065" s="7" t="s">
        <v>559</v>
      </c>
      <c r="C1065" s="7" t="str">
        <f>IFERROR(__xludf.DUMMYFUNCTION("GOOGLETRANSLATE($B1065, $A$2, $B$2)"),"18 days ago")</f>
        <v>18 days ago</v>
      </c>
      <c r="D1065" s="7" t="s">
        <v>2024</v>
      </c>
      <c r="E1065" s="7" t="s">
        <v>348</v>
      </c>
      <c r="F1065" s="7" t="s">
        <v>2025</v>
      </c>
      <c r="G1065" s="7" t="s">
        <v>260</v>
      </c>
      <c r="H1065" s="7" t="s">
        <v>261</v>
      </c>
      <c r="I1065" s="7" t="s">
        <v>261</v>
      </c>
      <c r="J1065" s="7" t="str">
        <f>IFERROR(__xludf.DUMMYFUNCTION("GOOGLETRANSLATE($I1065, ""de"", ""en"")"),"NO SALARY DATA")</f>
        <v>NO SALARY DATA</v>
      </c>
      <c r="K1065" s="7" t="s">
        <v>261</v>
      </c>
      <c r="L1065" s="7" t="s">
        <v>649</v>
      </c>
      <c r="M1065" s="7" t="s">
        <v>263</v>
      </c>
      <c r="N1065" s="7" t="s">
        <v>260</v>
      </c>
      <c r="O1065" s="7"/>
      <c r="P1065" s="37"/>
      <c r="Q1065" s="7"/>
    </row>
    <row r="1066">
      <c r="A1066" s="7">
        <v>1061.0</v>
      </c>
      <c r="B1066" s="7" t="s">
        <v>292</v>
      </c>
      <c r="C1066" s="7" t="str">
        <f>IFERROR(__xludf.DUMMYFUNCTION("GOOGLETRANSLATE($B1066, $A$2, $B$2)"),"1 day ago")</f>
        <v>1 day ago</v>
      </c>
      <c r="D1066" s="7" t="s">
        <v>306</v>
      </c>
      <c r="E1066" s="7" t="s">
        <v>1891</v>
      </c>
      <c r="F1066" s="7" t="s">
        <v>1954</v>
      </c>
      <c r="G1066" s="7" t="s">
        <v>260</v>
      </c>
      <c r="H1066" s="7" t="s">
        <v>261</v>
      </c>
      <c r="I1066" s="7" t="s">
        <v>261</v>
      </c>
      <c r="J1066" s="7" t="str">
        <f>IFERROR(__xludf.DUMMYFUNCTION("GOOGLETRANSLATE($I1066, ""de"", ""en"")"),"NO SALARY DATA")</f>
        <v>NO SALARY DATA</v>
      </c>
      <c r="K1066" s="7" t="s">
        <v>261</v>
      </c>
      <c r="L1066" s="7" t="s">
        <v>643</v>
      </c>
      <c r="M1066" s="7" t="s">
        <v>452</v>
      </c>
      <c r="N1066" s="7" t="s">
        <v>260</v>
      </c>
      <c r="O1066" s="7"/>
      <c r="P1066" s="37"/>
      <c r="Q1066" s="7"/>
    </row>
    <row r="1067">
      <c r="A1067" s="7">
        <v>1062.0</v>
      </c>
      <c r="B1067" s="7" t="s">
        <v>705</v>
      </c>
      <c r="C1067" s="7" t="str">
        <f>IFERROR(__xludf.DUMMYFUNCTION("GOOGLETRANSLATE($B1067, $A$2, $B$2)"),"9 days ago")</f>
        <v>9 days ago</v>
      </c>
      <c r="D1067" s="7" t="s">
        <v>1943</v>
      </c>
      <c r="E1067" s="7" t="s">
        <v>1944</v>
      </c>
      <c r="F1067" s="7" t="s">
        <v>1945</v>
      </c>
      <c r="G1067" s="7" t="s">
        <v>260</v>
      </c>
      <c r="H1067" s="7" t="s">
        <v>261</v>
      </c>
      <c r="I1067" s="7" t="s">
        <v>261</v>
      </c>
      <c r="J1067" s="7" t="str">
        <f>IFERROR(__xludf.DUMMYFUNCTION("GOOGLETRANSLATE($I1067, ""de"", ""en"")"),"NO SALARY DATA")</f>
        <v>NO SALARY DATA</v>
      </c>
      <c r="K1067" s="7" t="s">
        <v>261</v>
      </c>
      <c r="L1067" s="7" t="s">
        <v>777</v>
      </c>
      <c r="M1067" s="7" t="s">
        <v>263</v>
      </c>
      <c r="N1067" s="7" t="s">
        <v>260</v>
      </c>
      <c r="O1067" s="7"/>
      <c r="P1067" s="37"/>
      <c r="Q1067" s="7"/>
    </row>
    <row r="1068">
      <c r="A1068" s="7">
        <v>1063.0</v>
      </c>
      <c r="B1068" s="7" t="s">
        <v>256</v>
      </c>
      <c r="C1068" s="7" t="str">
        <f>IFERROR(__xludf.DUMMYFUNCTION("GOOGLETRANSLATE($B1068, $A$2, $B$2)"),"7 days ago")</f>
        <v>7 days ago</v>
      </c>
      <c r="D1068" s="7" t="s">
        <v>2129</v>
      </c>
      <c r="E1068" s="7" t="s">
        <v>2130</v>
      </c>
      <c r="F1068" s="7" t="s">
        <v>2131</v>
      </c>
      <c r="G1068" s="7" t="s">
        <v>260</v>
      </c>
      <c r="H1068" s="7" t="s">
        <v>261</v>
      </c>
      <c r="I1068" s="7" t="s">
        <v>261</v>
      </c>
      <c r="J1068" s="7" t="str">
        <f>IFERROR(__xludf.DUMMYFUNCTION("GOOGLETRANSLATE($I1068, ""de"", ""en"")"),"NO SALARY DATA")</f>
        <v>NO SALARY DATA</v>
      </c>
      <c r="K1068" s="7" t="s">
        <v>261</v>
      </c>
      <c r="L1068" s="7" t="s">
        <v>649</v>
      </c>
      <c r="M1068" s="7" t="s">
        <v>263</v>
      </c>
      <c r="N1068" s="7" t="s">
        <v>260</v>
      </c>
      <c r="O1068" s="7"/>
      <c r="P1068" s="37"/>
      <c r="Q1068" s="7"/>
    </row>
    <row r="1069">
      <c r="A1069" s="7">
        <v>1064.0</v>
      </c>
      <c r="B1069" s="7" t="s">
        <v>392</v>
      </c>
      <c r="C1069" s="7" t="str">
        <f>IFERROR(__xludf.DUMMYFUNCTION("GOOGLETRANSLATE($B1069, $A$2, $B$2)"),"10 days ago")</f>
        <v>10 days ago</v>
      </c>
      <c r="D1069" s="7" t="s">
        <v>2136</v>
      </c>
      <c r="E1069" s="7" t="s">
        <v>1944</v>
      </c>
      <c r="F1069" s="7" t="s">
        <v>1945</v>
      </c>
      <c r="G1069" s="7" t="s">
        <v>260</v>
      </c>
      <c r="H1069" s="7" t="s">
        <v>261</v>
      </c>
      <c r="I1069" s="7" t="s">
        <v>261</v>
      </c>
      <c r="J1069" s="7" t="str">
        <f>IFERROR(__xludf.DUMMYFUNCTION("GOOGLETRANSLATE($I1069, ""de"", ""en"")"),"NO SALARY DATA")</f>
        <v>NO SALARY DATA</v>
      </c>
      <c r="K1069" s="7" t="s">
        <v>261</v>
      </c>
      <c r="L1069" s="7"/>
      <c r="M1069" s="7" t="s">
        <v>263</v>
      </c>
      <c r="N1069" s="7" t="s">
        <v>260</v>
      </c>
      <c r="O1069" s="7"/>
      <c r="P1069" s="37"/>
      <c r="Q1069" s="7"/>
    </row>
    <row r="1070">
      <c r="A1070" s="7">
        <v>1065.0</v>
      </c>
      <c r="B1070" s="7" t="s">
        <v>288</v>
      </c>
      <c r="C1070" s="7" t="str">
        <f>IFERROR(__xludf.DUMMYFUNCTION("GOOGLETRANSLATE($B1070, $A$2, $B$2)"),"2 days ago")</f>
        <v>2 days ago</v>
      </c>
      <c r="D1070" s="7" t="s">
        <v>2137</v>
      </c>
      <c r="E1070" s="7" t="s">
        <v>735</v>
      </c>
      <c r="F1070" s="7" t="s">
        <v>2056</v>
      </c>
      <c r="G1070" s="7" t="s">
        <v>260</v>
      </c>
      <c r="H1070" s="7" t="s">
        <v>261</v>
      </c>
      <c r="I1070" s="7" t="s">
        <v>261</v>
      </c>
      <c r="J1070" s="7" t="str">
        <f>IFERROR(__xludf.DUMMYFUNCTION("GOOGLETRANSLATE($I1070, ""de"", ""en"")"),"NO SALARY DATA")</f>
        <v>NO SALARY DATA</v>
      </c>
      <c r="K1070" s="7" t="s">
        <v>261</v>
      </c>
      <c r="L1070" s="7"/>
      <c r="M1070" s="7" t="s">
        <v>263</v>
      </c>
      <c r="N1070" s="7" t="s">
        <v>260</v>
      </c>
      <c r="O1070" s="7"/>
      <c r="P1070" s="37"/>
      <c r="Q1070" s="7"/>
    </row>
    <row r="1071">
      <c r="A1071" s="7">
        <v>1066.0</v>
      </c>
      <c r="B1071" s="7" t="s">
        <v>265</v>
      </c>
      <c r="C1071" s="7" t="str">
        <f>IFERROR(__xludf.DUMMYFUNCTION("GOOGLETRANSLATE($B1071, $A$2, $B$2)"),"More than 30 days ago")</f>
        <v>More than 30 days ago</v>
      </c>
      <c r="D1071" s="7" t="s">
        <v>2138</v>
      </c>
      <c r="E1071" s="7" t="s">
        <v>539</v>
      </c>
      <c r="F1071" s="7" t="s">
        <v>2139</v>
      </c>
      <c r="G1071" s="7" t="s">
        <v>260</v>
      </c>
      <c r="H1071" s="7" t="s">
        <v>261</v>
      </c>
      <c r="I1071" s="7" t="s">
        <v>261</v>
      </c>
      <c r="J1071" s="7" t="str">
        <f>IFERROR(__xludf.DUMMYFUNCTION("GOOGLETRANSLATE($I1071, ""de"", ""en"")"),"NO SALARY DATA")</f>
        <v>NO SALARY DATA</v>
      </c>
      <c r="K1071" s="7" t="s">
        <v>261</v>
      </c>
      <c r="L1071" s="7"/>
      <c r="M1071" s="7" t="s">
        <v>263</v>
      </c>
      <c r="N1071" s="7" t="s">
        <v>260</v>
      </c>
      <c r="O1071" s="7"/>
      <c r="P1071" s="37"/>
      <c r="Q1071" s="7"/>
    </row>
    <row r="1072">
      <c r="A1072" s="7">
        <v>1067.0</v>
      </c>
      <c r="B1072" s="7" t="s">
        <v>265</v>
      </c>
      <c r="C1072" s="7" t="str">
        <f>IFERROR(__xludf.DUMMYFUNCTION("GOOGLETRANSLATE($B1072, $A$2, $B$2)"),"More than 30 days ago")</f>
        <v>More than 30 days ago</v>
      </c>
      <c r="D1072" s="7" t="s">
        <v>706</v>
      </c>
      <c r="E1072" s="7" t="s">
        <v>1462</v>
      </c>
      <c r="F1072" s="7" t="s">
        <v>1942</v>
      </c>
      <c r="G1072" s="7" t="s">
        <v>260</v>
      </c>
      <c r="H1072" s="7" t="s">
        <v>261</v>
      </c>
      <c r="I1072" s="7" t="s">
        <v>261</v>
      </c>
      <c r="J1072" s="7" t="str">
        <f>IFERROR(__xludf.DUMMYFUNCTION("GOOGLETRANSLATE($I1072, ""de"", ""en"")"),"NO SALARY DATA")</f>
        <v>NO SALARY DATA</v>
      </c>
      <c r="K1072" s="7" t="s">
        <v>261</v>
      </c>
      <c r="L1072" s="7" t="s">
        <v>423</v>
      </c>
      <c r="M1072" s="7" t="s">
        <v>263</v>
      </c>
      <c r="N1072" s="7" t="s">
        <v>260</v>
      </c>
      <c r="O1072" s="7"/>
      <c r="P1072" s="37"/>
      <c r="Q1072" s="7"/>
    </row>
    <row r="1073">
      <c r="A1073" s="7">
        <v>1068.0</v>
      </c>
      <c r="B1073" s="7" t="s">
        <v>392</v>
      </c>
      <c r="C1073" s="7" t="str">
        <f>IFERROR(__xludf.DUMMYFUNCTION("GOOGLETRANSLATE($B1073, $A$2, $B$2)"),"10 days ago")</f>
        <v>10 days ago</v>
      </c>
      <c r="D1073" s="7" t="s">
        <v>2140</v>
      </c>
      <c r="E1073" s="7" t="s">
        <v>258</v>
      </c>
      <c r="F1073" s="7" t="s">
        <v>2141</v>
      </c>
      <c r="G1073" s="7" t="s">
        <v>260</v>
      </c>
      <c r="H1073" s="7" t="s">
        <v>261</v>
      </c>
      <c r="I1073" s="7" t="s">
        <v>261</v>
      </c>
      <c r="J1073" s="7" t="str">
        <f>IFERROR(__xludf.DUMMYFUNCTION("GOOGLETRANSLATE($I1073, ""de"", ""en"")"),"NO SALARY DATA")</f>
        <v>NO SALARY DATA</v>
      </c>
      <c r="K1073" s="7" t="s">
        <v>261</v>
      </c>
      <c r="L1073" s="7" t="s">
        <v>694</v>
      </c>
      <c r="M1073" s="7" t="s">
        <v>263</v>
      </c>
      <c r="N1073" s="7" t="s">
        <v>260</v>
      </c>
      <c r="O1073" s="7"/>
      <c r="P1073" s="37"/>
      <c r="Q1073" s="7"/>
    </row>
    <row r="1074">
      <c r="A1074" s="7">
        <v>1069.0</v>
      </c>
      <c r="B1074" s="7" t="s">
        <v>341</v>
      </c>
      <c r="C1074" s="7" t="str">
        <f>IFERROR(__xludf.DUMMYFUNCTION("GOOGLETRANSLATE($B1074, $A$2, $B$2)"),"before 14 days")</f>
        <v>before 14 days</v>
      </c>
      <c r="D1074" s="7" t="s">
        <v>847</v>
      </c>
      <c r="E1074" s="7" t="s">
        <v>401</v>
      </c>
      <c r="F1074" s="7" t="s">
        <v>1962</v>
      </c>
      <c r="G1074" s="7" t="s">
        <v>260</v>
      </c>
      <c r="H1074" s="7" t="s">
        <v>261</v>
      </c>
      <c r="I1074" s="7" t="s">
        <v>261</v>
      </c>
      <c r="J1074" s="7" t="str">
        <f>IFERROR(__xludf.DUMMYFUNCTION("GOOGLETRANSLATE($I1074, ""de"", ""en"")"),"NO SALARY DATA")</f>
        <v>NO SALARY DATA</v>
      </c>
      <c r="K1074" s="7" t="s">
        <v>261</v>
      </c>
      <c r="L1074" s="7" t="s">
        <v>286</v>
      </c>
      <c r="M1074" s="7" t="s">
        <v>263</v>
      </c>
      <c r="N1074" s="7" t="s">
        <v>260</v>
      </c>
      <c r="O1074" s="7"/>
      <c r="P1074" s="37"/>
      <c r="Q1074" s="7"/>
    </row>
    <row r="1075">
      <c r="A1075" s="7">
        <v>1070.0</v>
      </c>
      <c r="B1075" s="7" t="s">
        <v>448</v>
      </c>
      <c r="C1075" s="7" t="str">
        <f>IFERROR(__xludf.DUMMYFUNCTION("GOOGLETRANSLATE($B1075, $A$2, $B$2)"),"23 days ago")</f>
        <v>23 days ago</v>
      </c>
      <c r="D1075" s="7" t="s">
        <v>1941</v>
      </c>
      <c r="E1075" s="7" t="s">
        <v>1462</v>
      </c>
      <c r="F1075" s="7" t="s">
        <v>1942</v>
      </c>
      <c r="G1075" s="7" t="s">
        <v>260</v>
      </c>
      <c r="H1075" s="7" t="s">
        <v>261</v>
      </c>
      <c r="I1075" s="7" t="s">
        <v>261</v>
      </c>
      <c r="J1075" s="7" t="str">
        <f>IFERROR(__xludf.DUMMYFUNCTION("GOOGLETRANSLATE($I1075, ""de"", ""en"")"),"NO SALARY DATA")</f>
        <v>NO SALARY DATA</v>
      </c>
      <c r="K1075" s="7" t="s">
        <v>261</v>
      </c>
      <c r="L1075" s="7" t="s">
        <v>649</v>
      </c>
      <c r="M1075" s="7" t="s">
        <v>263</v>
      </c>
      <c r="N1075" s="7" t="s">
        <v>260</v>
      </c>
      <c r="O1075" s="7"/>
      <c r="P1075" s="37"/>
      <c r="Q1075" s="7"/>
    </row>
    <row r="1076">
      <c r="A1076" s="7">
        <v>1071.0</v>
      </c>
      <c r="B1076" s="7" t="s">
        <v>332</v>
      </c>
      <c r="C1076" s="7" t="str">
        <f>IFERROR(__xludf.DUMMYFUNCTION("GOOGLETRANSLATE($B1076, $A$2, $B$2)"),"4 days ago")</f>
        <v>4 days ago</v>
      </c>
      <c r="D1076" s="7" t="s">
        <v>2142</v>
      </c>
      <c r="E1076" s="7" t="s">
        <v>271</v>
      </c>
      <c r="F1076" s="7" t="s">
        <v>2143</v>
      </c>
      <c r="G1076" s="7" t="s">
        <v>260</v>
      </c>
      <c r="H1076" s="7" t="s">
        <v>261</v>
      </c>
      <c r="I1076" s="7" t="s">
        <v>261</v>
      </c>
      <c r="J1076" s="7" t="str">
        <f>IFERROR(__xludf.DUMMYFUNCTION("GOOGLETRANSLATE($I1076, ""de"", ""en"")"),"NO SALARY DATA")</f>
        <v>NO SALARY DATA</v>
      </c>
      <c r="K1076" s="7" t="s">
        <v>261</v>
      </c>
      <c r="L1076" s="7"/>
      <c r="M1076" s="7" t="s">
        <v>263</v>
      </c>
      <c r="N1076" s="7" t="s">
        <v>260</v>
      </c>
      <c r="O1076" s="7"/>
      <c r="P1076" s="37"/>
      <c r="Q1076" s="7"/>
    </row>
    <row r="1077">
      <c r="A1077" s="7">
        <v>1072.0</v>
      </c>
      <c r="B1077" s="7" t="s">
        <v>392</v>
      </c>
      <c r="C1077" s="7" t="str">
        <f>IFERROR(__xludf.DUMMYFUNCTION("GOOGLETRANSLATE($B1077, $A$2, $B$2)"),"10 days ago")</f>
        <v>10 days ago</v>
      </c>
      <c r="D1077" s="7" t="s">
        <v>1943</v>
      </c>
      <c r="E1077" s="7" t="s">
        <v>1944</v>
      </c>
      <c r="F1077" s="7" t="s">
        <v>1945</v>
      </c>
      <c r="G1077" s="7" t="s">
        <v>260</v>
      </c>
      <c r="H1077" s="7" t="s">
        <v>261</v>
      </c>
      <c r="I1077" s="7" t="s">
        <v>261</v>
      </c>
      <c r="J1077" s="7" t="str">
        <f>IFERROR(__xludf.DUMMYFUNCTION("GOOGLETRANSLATE($I1077, ""de"", ""en"")"),"NO SALARY DATA")</f>
        <v>NO SALARY DATA</v>
      </c>
      <c r="K1077" s="7" t="s">
        <v>261</v>
      </c>
      <c r="L1077" s="7" t="s">
        <v>777</v>
      </c>
      <c r="M1077" s="7" t="s">
        <v>263</v>
      </c>
      <c r="N1077" s="7" t="s">
        <v>260</v>
      </c>
      <c r="O1077" s="7"/>
      <c r="P1077" s="37"/>
      <c r="Q1077" s="7"/>
    </row>
    <row r="1078">
      <c r="A1078" s="7">
        <v>1073.0</v>
      </c>
      <c r="B1078" s="7" t="s">
        <v>371</v>
      </c>
      <c r="C1078" s="7" t="str">
        <f>IFERROR(__xludf.DUMMYFUNCTION("GOOGLETRANSLATE($B1078, $A$2, $B$2)"),"Straight")</f>
        <v>Straight</v>
      </c>
      <c r="D1078" s="7" t="s">
        <v>2120</v>
      </c>
      <c r="E1078" s="7" t="s">
        <v>348</v>
      </c>
      <c r="F1078" s="7" t="s">
        <v>2121</v>
      </c>
      <c r="G1078" s="7" t="s">
        <v>870</v>
      </c>
      <c r="H1078" s="7">
        <v>60000.0</v>
      </c>
      <c r="I1078" s="7" t="s">
        <v>384</v>
      </c>
      <c r="J1078" s="7" t="str">
        <f>IFERROR(__xludf.DUMMYFUNCTION("GOOGLETRANSLATE($I1078, ""de"", ""en"")"),"year")</f>
        <v>year</v>
      </c>
      <c r="K1078" s="7">
        <v>60000.0</v>
      </c>
      <c r="L1078" s="7" t="s">
        <v>345</v>
      </c>
      <c r="M1078" s="7" t="s">
        <v>263</v>
      </c>
      <c r="N1078" s="7" t="s">
        <v>260</v>
      </c>
      <c r="O1078" s="7"/>
      <c r="P1078" s="37"/>
      <c r="Q1078" s="7"/>
    </row>
    <row r="1079">
      <c r="A1079" s="7">
        <v>1074.0</v>
      </c>
      <c r="B1079" s="7" t="s">
        <v>559</v>
      </c>
      <c r="C1079" s="7" t="str">
        <f>IFERROR(__xludf.DUMMYFUNCTION("GOOGLETRANSLATE($B1079, $A$2, $B$2)"),"18 days ago")</f>
        <v>18 days ago</v>
      </c>
      <c r="D1079" s="7" t="s">
        <v>2024</v>
      </c>
      <c r="E1079" s="7" t="s">
        <v>348</v>
      </c>
      <c r="F1079" s="7" t="s">
        <v>2025</v>
      </c>
      <c r="G1079" s="7" t="s">
        <v>260</v>
      </c>
      <c r="H1079" s="7" t="s">
        <v>261</v>
      </c>
      <c r="I1079" s="7" t="s">
        <v>261</v>
      </c>
      <c r="J1079" s="7" t="str">
        <f>IFERROR(__xludf.DUMMYFUNCTION("GOOGLETRANSLATE($I1079, ""de"", ""en"")"),"NO SALARY DATA")</f>
        <v>NO SALARY DATA</v>
      </c>
      <c r="K1079" s="7" t="s">
        <v>261</v>
      </c>
      <c r="L1079" s="7" t="s">
        <v>649</v>
      </c>
      <c r="M1079" s="7" t="s">
        <v>263</v>
      </c>
      <c r="N1079" s="7" t="s">
        <v>260</v>
      </c>
      <c r="O1079" s="7"/>
      <c r="P1079" s="35"/>
      <c r="Q1079" s="7"/>
    </row>
    <row r="1080">
      <c r="A1080" s="7">
        <v>1075.0</v>
      </c>
      <c r="B1080" s="7" t="s">
        <v>265</v>
      </c>
      <c r="C1080" s="7" t="str">
        <f>IFERROR(__xludf.DUMMYFUNCTION("GOOGLETRANSLATE($B1080, $A$2, $B$2)"),"More than 30 days ago")</f>
        <v>More than 30 days ago</v>
      </c>
      <c r="D1080" s="7" t="s">
        <v>2144</v>
      </c>
      <c r="E1080" s="7" t="s">
        <v>793</v>
      </c>
      <c r="F1080" s="7" t="s">
        <v>2145</v>
      </c>
      <c r="G1080" s="7" t="s">
        <v>260</v>
      </c>
      <c r="H1080" s="7" t="s">
        <v>261</v>
      </c>
      <c r="I1080" s="7" t="s">
        <v>261</v>
      </c>
      <c r="J1080" s="7" t="str">
        <f>IFERROR(__xludf.DUMMYFUNCTION("GOOGLETRANSLATE($I1080, ""de"", ""en"")"),"NO SALARY DATA")</f>
        <v>NO SALARY DATA</v>
      </c>
      <c r="K1080" s="7" t="s">
        <v>261</v>
      </c>
      <c r="L1080" s="7" t="s">
        <v>527</v>
      </c>
      <c r="M1080" s="7" t="s">
        <v>263</v>
      </c>
      <c r="N1080" s="7" t="s">
        <v>323</v>
      </c>
      <c r="O1080" s="7"/>
      <c r="P1080" s="37"/>
      <c r="Q1080" s="7"/>
    </row>
    <row r="1081">
      <c r="A1081" s="7">
        <v>1076.0</v>
      </c>
      <c r="B1081" s="7" t="s">
        <v>559</v>
      </c>
      <c r="C1081" s="7" t="str">
        <f>IFERROR(__xludf.DUMMYFUNCTION("GOOGLETRANSLATE($B1081, $A$2, $B$2)"),"18 days ago")</f>
        <v>18 days ago</v>
      </c>
      <c r="D1081" s="7" t="s">
        <v>2024</v>
      </c>
      <c r="E1081" s="7" t="s">
        <v>439</v>
      </c>
      <c r="F1081" s="7" t="s">
        <v>2025</v>
      </c>
      <c r="G1081" s="7" t="s">
        <v>260</v>
      </c>
      <c r="H1081" s="7" t="s">
        <v>261</v>
      </c>
      <c r="I1081" s="7" t="s">
        <v>261</v>
      </c>
      <c r="J1081" s="7" t="str">
        <f>IFERROR(__xludf.DUMMYFUNCTION("GOOGLETRANSLATE($I1081, ""de"", ""en"")"),"NO SALARY DATA")</f>
        <v>NO SALARY DATA</v>
      </c>
      <c r="K1081" s="7" t="s">
        <v>261</v>
      </c>
      <c r="L1081" s="7" t="s">
        <v>649</v>
      </c>
      <c r="M1081" s="7" t="s">
        <v>263</v>
      </c>
      <c r="N1081" s="7" t="s">
        <v>260</v>
      </c>
      <c r="O1081" s="7"/>
      <c r="P1081" s="37"/>
      <c r="Q1081" s="7"/>
    </row>
    <row r="1082">
      <c r="A1082" s="7">
        <v>1077.0</v>
      </c>
      <c r="B1082" s="7" t="s">
        <v>395</v>
      </c>
      <c r="C1082" s="7" t="str">
        <f>IFERROR(__xludf.DUMMYFUNCTION("GOOGLETRANSLATE($B1082, $A$2, $B$2)"),"21 days ago")</f>
        <v>21 days ago</v>
      </c>
      <c r="D1082" s="7" t="s">
        <v>706</v>
      </c>
      <c r="E1082" s="7" t="s">
        <v>401</v>
      </c>
      <c r="F1082" s="7" t="s">
        <v>1099</v>
      </c>
      <c r="G1082" s="7" t="s">
        <v>260</v>
      </c>
      <c r="H1082" s="7" t="s">
        <v>261</v>
      </c>
      <c r="I1082" s="7" t="s">
        <v>261</v>
      </c>
      <c r="J1082" s="7" t="str">
        <f>IFERROR(__xludf.DUMMYFUNCTION("GOOGLETRANSLATE($I1082, ""de"", ""en"")"),"NO SALARY DATA")</f>
        <v>NO SALARY DATA</v>
      </c>
      <c r="K1082" s="7" t="s">
        <v>261</v>
      </c>
      <c r="L1082" s="7" t="s">
        <v>327</v>
      </c>
      <c r="M1082" s="7" t="s">
        <v>263</v>
      </c>
      <c r="N1082" s="7" t="s">
        <v>260</v>
      </c>
      <c r="O1082" s="7"/>
      <c r="P1082" s="35"/>
      <c r="Q1082" s="7"/>
    </row>
    <row r="1083">
      <c r="A1083" s="7">
        <v>1078.0</v>
      </c>
      <c r="B1083" s="7" t="s">
        <v>292</v>
      </c>
      <c r="C1083" s="7" t="str">
        <f>IFERROR(__xludf.DUMMYFUNCTION("GOOGLETRANSLATE($B1083, $A$2, $B$2)"),"1 day ago")</f>
        <v>1 day ago</v>
      </c>
      <c r="D1083" s="7" t="s">
        <v>2146</v>
      </c>
      <c r="E1083" s="7" t="s">
        <v>258</v>
      </c>
      <c r="F1083" s="7" t="s">
        <v>665</v>
      </c>
      <c r="G1083" s="7" t="s">
        <v>260</v>
      </c>
      <c r="H1083" s="7" t="s">
        <v>261</v>
      </c>
      <c r="I1083" s="7" t="s">
        <v>261</v>
      </c>
      <c r="J1083" s="7" t="str">
        <f>IFERROR(__xludf.DUMMYFUNCTION("GOOGLETRANSLATE($I1083, ""de"", ""en"")"),"NO SALARY DATA")</f>
        <v>NO SALARY DATA</v>
      </c>
      <c r="K1083" s="7" t="s">
        <v>261</v>
      </c>
      <c r="L1083" s="7" t="s">
        <v>398</v>
      </c>
      <c r="M1083" s="7" t="s">
        <v>667</v>
      </c>
      <c r="N1083" s="7" t="s">
        <v>486</v>
      </c>
      <c r="O1083" s="7"/>
      <c r="P1083" s="37"/>
      <c r="Q1083" s="7"/>
    </row>
    <row r="1084">
      <c r="A1084" s="7">
        <v>1079.0</v>
      </c>
      <c r="B1084" s="7" t="s">
        <v>371</v>
      </c>
      <c r="C1084" s="7" t="str">
        <f>IFERROR(__xludf.DUMMYFUNCTION("GOOGLETRANSLATE($B1084, $A$2, $B$2)"),"Straight")</f>
        <v>Straight</v>
      </c>
      <c r="D1084" s="7" t="s">
        <v>2059</v>
      </c>
      <c r="E1084" s="7" t="s">
        <v>348</v>
      </c>
      <c r="F1084" s="7" t="s">
        <v>2060</v>
      </c>
      <c r="G1084" s="7" t="s">
        <v>260</v>
      </c>
      <c r="H1084" s="7" t="s">
        <v>261</v>
      </c>
      <c r="I1084" s="7" t="s">
        <v>261</v>
      </c>
      <c r="J1084" s="7" t="str">
        <f>IFERROR(__xludf.DUMMYFUNCTION("GOOGLETRANSLATE($I1084, ""de"", ""en"")"),"NO SALARY DATA")</f>
        <v>NO SALARY DATA</v>
      </c>
      <c r="K1084" s="7" t="s">
        <v>261</v>
      </c>
      <c r="L1084" s="7"/>
      <c r="M1084" s="7" t="s">
        <v>263</v>
      </c>
      <c r="N1084" s="7" t="s">
        <v>260</v>
      </c>
      <c r="O1084" s="7"/>
      <c r="P1084" s="35"/>
      <c r="Q1084" s="7"/>
    </row>
    <row r="1085">
      <c r="A1085" s="7">
        <v>1080.0</v>
      </c>
      <c r="B1085" s="7" t="s">
        <v>265</v>
      </c>
      <c r="C1085" s="7" t="str">
        <f>IFERROR(__xludf.DUMMYFUNCTION("GOOGLETRANSLATE($B1085, $A$2, $B$2)"),"More than 30 days ago")</f>
        <v>More than 30 days ago</v>
      </c>
      <c r="D1085" s="7" t="s">
        <v>2147</v>
      </c>
      <c r="E1085" s="7" t="s">
        <v>2148</v>
      </c>
      <c r="F1085" s="7" t="s">
        <v>1902</v>
      </c>
      <c r="G1085" s="7" t="s">
        <v>260</v>
      </c>
      <c r="H1085" s="7" t="s">
        <v>261</v>
      </c>
      <c r="I1085" s="7" t="s">
        <v>261</v>
      </c>
      <c r="J1085" s="7" t="str">
        <f>IFERROR(__xludf.DUMMYFUNCTION("GOOGLETRANSLATE($I1085, ""de"", ""en"")"),"NO SALARY DATA")</f>
        <v>NO SALARY DATA</v>
      </c>
      <c r="K1085" s="7" t="s">
        <v>261</v>
      </c>
      <c r="L1085" s="7" t="s">
        <v>423</v>
      </c>
      <c r="M1085" s="7" t="s">
        <v>263</v>
      </c>
      <c r="N1085" s="7" t="s">
        <v>507</v>
      </c>
      <c r="O1085" s="7"/>
      <c r="P1085" s="37"/>
      <c r="Q1085" s="7"/>
    </row>
    <row r="1086">
      <c r="A1086" s="7">
        <v>1081.0</v>
      </c>
      <c r="B1086" s="7" t="s">
        <v>371</v>
      </c>
      <c r="C1086" s="7" t="str">
        <f>IFERROR(__xludf.DUMMYFUNCTION("GOOGLETRANSLATE($B1086, $A$2, $B$2)"),"Straight")</f>
        <v>Straight</v>
      </c>
      <c r="D1086" s="7" t="s">
        <v>2035</v>
      </c>
      <c r="E1086" s="7" t="s">
        <v>348</v>
      </c>
      <c r="F1086" s="7" t="s">
        <v>1924</v>
      </c>
      <c r="G1086" s="7" t="s">
        <v>260</v>
      </c>
      <c r="H1086" s="7" t="s">
        <v>261</v>
      </c>
      <c r="I1086" s="7" t="s">
        <v>261</v>
      </c>
      <c r="J1086" s="7" t="str">
        <f>IFERROR(__xludf.DUMMYFUNCTION("GOOGLETRANSLATE($I1086, ""de"", ""en"")"),"NO SALARY DATA")</f>
        <v>NO SALARY DATA</v>
      </c>
      <c r="K1086" s="7" t="s">
        <v>261</v>
      </c>
      <c r="L1086" s="7" t="s">
        <v>777</v>
      </c>
      <c r="M1086" s="7" t="s">
        <v>673</v>
      </c>
      <c r="N1086" s="7" t="s">
        <v>260</v>
      </c>
      <c r="O1086" s="7"/>
      <c r="P1086" s="35"/>
      <c r="Q1086" s="7"/>
    </row>
    <row r="1087">
      <c r="A1087" s="7">
        <v>1082.0</v>
      </c>
      <c r="B1087" s="7" t="s">
        <v>375</v>
      </c>
      <c r="C1087" s="7" t="str">
        <f>IFERROR(__xludf.DUMMYFUNCTION("GOOGLETRANSLATE($B1087, $A$2, $B$2)"),"6 days ago")</f>
        <v>6 days ago</v>
      </c>
      <c r="D1087" s="7" t="s">
        <v>1936</v>
      </c>
      <c r="E1087" s="7" t="s">
        <v>629</v>
      </c>
      <c r="F1087" s="7" t="s">
        <v>1937</v>
      </c>
      <c r="G1087" s="7" t="s">
        <v>260</v>
      </c>
      <c r="H1087" s="7" t="s">
        <v>261</v>
      </c>
      <c r="I1087" s="7" t="s">
        <v>261</v>
      </c>
      <c r="J1087" s="7" t="str">
        <f>IFERROR(__xludf.DUMMYFUNCTION("GOOGLETRANSLATE($I1087, ""de"", ""en"")"),"NO SALARY DATA")</f>
        <v>NO SALARY DATA</v>
      </c>
      <c r="K1087" s="7" t="s">
        <v>261</v>
      </c>
      <c r="L1087" s="7"/>
      <c r="M1087" s="7" t="s">
        <v>263</v>
      </c>
      <c r="N1087" s="7" t="s">
        <v>611</v>
      </c>
      <c r="O1087" s="7"/>
      <c r="P1087" s="37"/>
      <c r="Q1087" s="7"/>
    </row>
    <row r="1088">
      <c r="A1088" s="7">
        <v>1083.0</v>
      </c>
      <c r="B1088" s="7" t="s">
        <v>341</v>
      </c>
      <c r="C1088" s="7" t="str">
        <f>IFERROR(__xludf.DUMMYFUNCTION("GOOGLETRANSLATE($B1088, $A$2, $B$2)"),"before 14 days")</f>
        <v>before 14 days</v>
      </c>
      <c r="D1088" s="7" t="s">
        <v>706</v>
      </c>
      <c r="E1088" s="7" t="s">
        <v>1462</v>
      </c>
      <c r="F1088" s="7" t="s">
        <v>1942</v>
      </c>
      <c r="G1088" s="7" t="s">
        <v>260</v>
      </c>
      <c r="H1088" s="7" t="s">
        <v>261</v>
      </c>
      <c r="I1088" s="7" t="s">
        <v>261</v>
      </c>
      <c r="J1088" s="7" t="str">
        <f>IFERROR(__xludf.DUMMYFUNCTION("GOOGLETRANSLATE($I1088, ""de"", ""en"")"),"NO SALARY DATA")</f>
        <v>NO SALARY DATA</v>
      </c>
      <c r="K1088" s="7" t="s">
        <v>261</v>
      </c>
      <c r="L1088" s="7" t="s">
        <v>423</v>
      </c>
      <c r="M1088" s="7" t="s">
        <v>263</v>
      </c>
      <c r="N1088" s="7" t="s">
        <v>260</v>
      </c>
      <c r="O1088" s="7"/>
      <c r="P1088" s="37"/>
      <c r="Q1088" s="7"/>
    </row>
    <row r="1089">
      <c r="A1089" s="7">
        <v>1084.0</v>
      </c>
      <c r="B1089" s="7" t="s">
        <v>288</v>
      </c>
      <c r="C1089" s="7" t="str">
        <f>IFERROR(__xludf.DUMMYFUNCTION("GOOGLETRANSLATE($B1089, $A$2, $B$2)"),"2 days ago")</f>
        <v>2 days ago</v>
      </c>
      <c r="D1089" s="7" t="s">
        <v>2090</v>
      </c>
      <c r="E1089" s="7" t="s">
        <v>735</v>
      </c>
      <c r="F1089" s="7" t="s">
        <v>2056</v>
      </c>
      <c r="G1089" s="7" t="s">
        <v>260</v>
      </c>
      <c r="H1089" s="7" t="s">
        <v>261</v>
      </c>
      <c r="I1089" s="7" t="s">
        <v>261</v>
      </c>
      <c r="J1089" s="7" t="str">
        <f>IFERROR(__xludf.DUMMYFUNCTION("GOOGLETRANSLATE($I1089, ""de"", ""en"")"),"NO SALARY DATA")</f>
        <v>NO SALARY DATA</v>
      </c>
      <c r="K1089" s="7" t="s">
        <v>261</v>
      </c>
      <c r="L1089" s="7" t="s">
        <v>286</v>
      </c>
      <c r="M1089" s="7" t="s">
        <v>263</v>
      </c>
      <c r="N1089" s="7" t="s">
        <v>260</v>
      </c>
      <c r="O1089" s="7"/>
      <c r="P1089" s="35"/>
      <c r="Q1089" s="7"/>
    </row>
    <row r="1090">
      <c r="A1090" s="7">
        <v>1085.0</v>
      </c>
      <c r="B1090" s="7" t="s">
        <v>302</v>
      </c>
      <c r="C1090" s="7" t="str">
        <f>IFERROR(__xludf.DUMMYFUNCTION("GOOGLETRANSLATE($B1090, $A$2, $B$2)"),"today")</f>
        <v>today</v>
      </c>
      <c r="D1090" s="7" t="s">
        <v>2083</v>
      </c>
      <c r="E1090" s="7" t="s">
        <v>539</v>
      </c>
      <c r="F1090" s="7" t="s">
        <v>2003</v>
      </c>
      <c r="G1090" s="7" t="s">
        <v>260</v>
      </c>
      <c r="H1090" s="7" t="s">
        <v>261</v>
      </c>
      <c r="I1090" s="7" t="s">
        <v>261</v>
      </c>
      <c r="J1090" s="7" t="str">
        <f>IFERROR(__xludf.DUMMYFUNCTION("GOOGLETRANSLATE($I1090, ""de"", ""en"")"),"NO SALARY DATA")</f>
        <v>NO SALARY DATA</v>
      </c>
      <c r="K1090" s="7" t="s">
        <v>261</v>
      </c>
      <c r="L1090" s="7" t="s">
        <v>2084</v>
      </c>
      <c r="M1090" s="7" t="s">
        <v>263</v>
      </c>
      <c r="N1090" s="7" t="s">
        <v>275</v>
      </c>
      <c r="O1090" s="7"/>
      <c r="P1090" s="37"/>
      <c r="Q1090" s="7"/>
    </row>
    <row r="1091">
      <c r="A1091" s="7">
        <v>1086.0</v>
      </c>
      <c r="B1091" s="7" t="s">
        <v>265</v>
      </c>
      <c r="C1091" s="7" t="str">
        <f>IFERROR(__xludf.DUMMYFUNCTION("GOOGLETRANSLATE($B1091, $A$2, $B$2)"),"More than 30 days ago")</f>
        <v>More than 30 days ago</v>
      </c>
      <c r="D1091" s="7" t="s">
        <v>2149</v>
      </c>
      <c r="E1091" s="7" t="s">
        <v>258</v>
      </c>
      <c r="F1091" s="7" t="s">
        <v>2150</v>
      </c>
      <c r="G1091" s="7" t="s">
        <v>2151</v>
      </c>
      <c r="H1091" s="7">
        <v>2250.0</v>
      </c>
      <c r="I1091" s="7" t="s">
        <v>811</v>
      </c>
      <c r="J1091" s="7" t="str">
        <f>IFERROR(__xludf.DUMMYFUNCTION("GOOGLETRANSLATE($I1091, ""de"", ""en"")"),"month")</f>
        <v>month</v>
      </c>
      <c r="K1091" s="7">
        <v>27000.0</v>
      </c>
      <c r="L1091" s="7" t="s">
        <v>398</v>
      </c>
      <c r="M1091" s="7" t="s">
        <v>274</v>
      </c>
      <c r="N1091" s="7" t="s">
        <v>260</v>
      </c>
      <c r="O1091" s="7"/>
      <c r="P1091" s="37"/>
      <c r="Q1091" s="7"/>
    </row>
    <row r="1092">
      <c r="A1092" s="7">
        <v>1087.0</v>
      </c>
      <c r="B1092" s="7" t="s">
        <v>533</v>
      </c>
      <c r="C1092" s="7" t="str">
        <f>IFERROR(__xludf.DUMMYFUNCTION("GOOGLETRANSLATE($B1092, $A$2, $B$2)"),"11 days ago")</f>
        <v>11 days ago</v>
      </c>
      <c r="D1092" s="7" t="s">
        <v>2017</v>
      </c>
      <c r="E1092" s="7" t="s">
        <v>2018</v>
      </c>
      <c r="F1092" s="7" t="s">
        <v>2019</v>
      </c>
      <c r="G1092" s="7" t="s">
        <v>260</v>
      </c>
      <c r="H1092" s="7" t="s">
        <v>261</v>
      </c>
      <c r="I1092" s="7" t="s">
        <v>261</v>
      </c>
      <c r="J1092" s="7" t="str">
        <f>IFERROR(__xludf.DUMMYFUNCTION("GOOGLETRANSLATE($I1092, ""de"", ""en"")"),"NO SALARY DATA")</f>
        <v>NO SALARY DATA</v>
      </c>
      <c r="K1092" s="7" t="s">
        <v>261</v>
      </c>
      <c r="L1092" s="7"/>
      <c r="M1092" s="7" t="s">
        <v>263</v>
      </c>
      <c r="N1092" s="7" t="s">
        <v>260</v>
      </c>
      <c r="O1092" s="7"/>
      <c r="P1092" s="35"/>
      <c r="Q1092" s="7"/>
    </row>
    <row r="1093">
      <c r="A1093" s="7">
        <v>1088.0</v>
      </c>
      <c r="B1093" s="7" t="s">
        <v>705</v>
      </c>
      <c r="C1093" s="7" t="str">
        <f>IFERROR(__xludf.DUMMYFUNCTION("GOOGLETRANSLATE($B1093, $A$2, $B$2)"),"9 days ago")</f>
        <v>9 days ago</v>
      </c>
      <c r="D1093" s="7" t="s">
        <v>2002</v>
      </c>
      <c r="E1093" s="7" t="s">
        <v>271</v>
      </c>
      <c r="F1093" s="7" t="s">
        <v>2003</v>
      </c>
      <c r="G1093" s="7" t="s">
        <v>260</v>
      </c>
      <c r="H1093" s="7" t="s">
        <v>261</v>
      </c>
      <c r="I1093" s="7" t="s">
        <v>261</v>
      </c>
      <c r="J1093" s="7" t="str">
        <f>IFERROR(__xludf.DUMMYFUNCTION("GOOGLETRANSLATE($I1093, ""de"", ""en"")"),"NO SALARY DATA")</f>
        <v>NO SALARY DATA</v>
      </c>
      <c r="K1093" s="7" t="s">
        <v>261</v>
      </c>
      <c r="L1093" s="7" t="s">
        <v>282</v>
      </c>
      <c r="M1093" s="7" t="s">
        <v>263</v>
      </c>
      <c r="N1093" s="7" t="s">
        <v>275</v>
      </c>
      <c r="O1093" s="7"/>
      <c r="P1093" s="37"/>
      <c r="Q1093" s="7"/>
    </row>
    <row r="1094">
      <c r="A1094" s="7">
        <v>1089.0</v>
      </c>
      <c r="B1094" s="7" t="s">
        <v>324</v>
      </c>
      <c r="C1094" s="7" t="str">
        <f>IFERROR(__xludf.DUMMYFUNCTION("GOOGLETRANSLATE($B1094, $A$2, $B$2)"),"3 days ago")</f>
        <v>3 days ago</v>
      </c>
      <c r="D1094" s="7" t="s">
        <v>2152</v>
      </c>
      <c r="E1094" s="7" t="s">
        <v>408</v>
      </c>
      <c r="F1094" s="7" t="s">
        <v>2153</v>
      </c>
      <c r="G1094" s="7" t="s">
        <v>260</v>
      </c>
      <c r="H1094" s="7" t="s">
        <v>261</v>
      </c>
      <c r="I1094" s="7" t="s">
        <v>261</v>
      </c>
      <c r="J1094" s="7" t="str">
        <f>IFERROR(__xludf.DUMMYFUNCTION("GOOGLETRANSLATE($I1094, ""de"", ""en"")"),"NO SALARY DATA")</f>
        <v>NO SALARY DATA</v>
      </c>
      <c r="K1094" s="7" t="s">
        <v>261</v>
      </c>
      <c r="L1094" s="7" t="s">
        <v>2154</v>
      </c>
      <c r="M1094" s="7" t="s">
        <v>263</v>
      </c>
      <c r="N1094" s="7" t="s">
        <v>260</v>
      </c>
      <c r="O1094" s="7"/>
      <c r="P1094" s="35"/>
      <c r="Q1094" s="7"/>
    </row>
    <row r="1095">
      <c r="A1095" s="7">
        <v>1090.0</v>
      </c>
      <c r="B1095" s="7" t="s">
        <v>265</v>
      </c>
      <c r="C1095" s="7" t="str">
        <f>IFERROR(__xludf.DUMMYFUNCTION("GOOGLETRANSLATE($B1095, $A$2, $B$2)"),"More than 30 days ago")</f>
        <v>More than 30 days ago</v>
      </c>
      <c r="D1095" s="7" t="s">
        <v>2085</v>
      </c>
      <c r="E1095" s="7" t="s">
        <v>280</v>
      </c>
      <c r="F1095" s="7" t="s">
        <v>2086</v>
      </c>
      <c r="G1095" s="7" t="s">
        <v>260</v>
      </c>
      <c r="H1095" s="7" t="s">
        <v>261</v>
      </c>
      <c r="I1095" s="7" t="s">
        <v>261</v>
      </c>
      <c r="J1095" s="7" t="str">
        <f>IFERROR(__xludf.DUMMYFUNCTION("GOOGLETRANSLATE($I1095, ""de"", ""en"")"),"NO SALARY DATA")</f>
        <v>NO SALARY DATA</v>
      </c>
      <c r="K1095" s="7" t="s">
        <v>261</v>
      </c>
      <c r="L1095" s="7"/>
      <c r="M1095" s="7" t="s">
        <v>263</v>
      </c>
      <c r="N1095" s="7" t="s">
        <v>336</v>
      </c>
      <c r="O1095" s="7"/>
      <c r="P1095" s="35"/>
      <c r="Q1095" s="7"/>
    </row>
    <row r="1096">
      <c r="A1096" s="7">
        <v>1091.0</v>
      </c>
      <c r="B1096" s="7" t="s">
        <v>375</v>
      </c>
      <c r="C1096" s="7" t="str">
        <f>IFERROR(__xludf.DUMMYFUNCTION("GOOGLETRANSLATE($B1096, $A$2, $B$2)"),"6 days ago")</f>
        <v>6 days ago</v>
      </c>
      <c r="D1096" s="7" t="s">
        <v>1936</v>
      </c>
      <c r="E1096" s="7" t="s">
        <v>629</v>
      </c>
      <c r="F1096" s="7" t="s">
        <v>1937</v>
      </c>
      <c r="G1096" s="7" t="s">
        <v>260</v>
      </c>
      <c r="H1096" s="7" t="s">
        <v>261</v>
      </c>
      <c r="I1096" s="7" t="s">
        <v>261</v>
      </c>
      <c r="J1096" s="7" t="str">
        <f>IFERROR(__xludf.DUMMYFUNCTION("GOOGLETRANSLATE($I1096, ""de"", ""en"")"),"NO SALARY DATA")</f>
        <v>NO SALARY DATA</v>
      </c>
      <c r="K1096" s="7" t="s">
        <v>261</v>
      </c>
      <c r="L1096" s="7"/>
      <c r="M1096" s="7" t="s">
        <v>263</v>
      </c>
      <c r="N1096" s="7" t="s">
        <v>611</v>
      </c>
      <c r="O1096" s="7"/>
      <c r="P1096" s="35"/>
      <c r="Q1096" s="7"/>
    </row>
    <row r="1097">
      <c r="A1097" s="7">
        <v>1092.0</v>
      </c>
      <c r="B1097" s="7" t="s">
        <v>469</v>
      </c>
      <c r="C1097" s="7" t="str">
        <f>IFERROR(__xludf.DUMMYFUNCTION("GOOGLETRANSLATE($B1097, $A$2, $B$2)"),"19 days ago")</f>
        <v>19 days ago</v>
      </c>
      <c r="D1097" s="7" t="s">
        <v>283</v>
      </c>
      <c r="E1097" s="7" t="s">
        <v>1241</v>
      </c>
      <c r="F1097" s="7" t="s">
        <v>1867</v>
      </c>
      <c r="G1097" s="7" t="s">
        <v>260</v>
      </c>
      <c r="H1097" s="7" t="s">
        <v>261</v>
      </c>
      <c r="I1097" s="7" t="s">
        <v>261</v>
      </c>
      <c r="J1097" s="7" t="str">
        <f>IFERROR(__xludf.DUMMYFUNCTION("GOOGLETRANSLATE($I1097, ""de"", ""en"")"),"NO SALARY DATA")</f>
        <v>NO SALARY DATA</v>
      </c>
      <c r="K1097" s="7" t="s">
        <v>261</v>
      </c>
      <c r="L1097" s="7" t="s">
        <v>312</v>
      </c>
      <c r="M1097" s="7" t="s">
        <v>263</v>
      </c>
      <c r="N1097" s="7" t="s">
        <v>323</v>
      </c>
      <c r="O1097" s="7"/>
      <c r="P1097" s="35"/>
      <c r="Q1097" s="7"/>
    </row>
    <row r="1098">
      <c r="A1098" s="7">
        <v>1093.0</v>
      </c>
      <c r="B1098" s="7" t="s">
        <v>265</v>
      </c>
      <c r="C1098" s="7" t="str">
        <f>IFERROR(__xludf.DUMMYFUNCTION("GOOGLETRANSLATE($B1098, $A$2, $B$2)"),"More than 30 days ago")</f>
        <v>More than 30 days ago</v>
      </c>
      <c r="D1098" s="7" t="s">
        <v>2155</v>
      </c>
      <c r="E1098" s="7" t="s">
        <v>2156</v>
      </c>
      <c r="F1098" s="7" t="s">
        <v>2157</v>
      </c>
      <c r="G1098" s="7" t="s">
        <v>260</v>
      </c>
      <c r="H1098" s="7" t="s">
        <v>261</v>
      </c>
      <c r="I1098" s="7" t="s">
        <v>261</v>
      </c>
      <c r="J1098" s="7" t="str">
        <f>IFERROR(__xludf.DUMMYFUNCTION("GOOGLETRANSLATE($I1098, ""de"", ""en"")"),"NO SALARY DATA")</f>
        <v>NO SALARY DATA</v>
      </c>
      <c r="K1098" s="7" t="s">
        <v>261</v>
      </c>
      <c r="L1098" s="7" t="s">
        <v>777</v>
      </c>
      <c r="M1098" s="7" t="s">
        <v>263</v>
      </c>
      <c r="N1098" s="7" t="s">
        <v>1385</v>
      </c>
      <c r="O1098" s="7"/>
      <c r="P1098" s="37"/>
      <c r="Q1098" s="7"/>
    </row>
    <row r="1099">
      <c r="A1099" s="7">
        <v>1094.0</v>
      </c>
      <c r="B1099" s="7" t="s">
        <v>375</v>
      </c>
      <c r="C1099" s="7" t="str">
        <f>IFERROR(__xludf.DUMMYFUNCTION("GOOGLETRANSLATE($B1099, $A$2, $B$2)"),"6 days ago")</f>
        <v>6 days ago</v>
      </c>
      <c r="D1099" s="7" t="s">
        <v>2158</v>
      </c>
      <c r="E1099" s="7" t="s">
        <v>408</v>
      </c>
      <c r="F1099" s="7" t="s">
        <v>2159</v>
      </c>
      <c r="G1099" s="7" t="s">
        <v>260</v>
      </c>
      <c r="H1099" s="7" t="s">
        <v>261</v>
      </c>
      <c r="I1099" s="7" t="s">
        <v>261</v>
      </c>
      <c r="J1099" s="7" t="str">
        <f>IFERROR(__xludf.DUMMYFUNCTION("GOOGLETRANSLATE($I1099, ""de"", ""en"")"),"NO SALARY DATA")</f>
        <v>NO SALARY DATA</v>
      </c>
      <c r="K1099" s="7" t="s">
        <v>261</v>
      </c>
      <c r="L1099" s="7" t="s">
        <v>286</v>
      </c>
      <c r="M1099" s="7" t="s">
        <v>263</v>
      </c>
      <c r="N1099" s="7" t="s">
        <v>260</v>
      </c>
      <c r="O1099" s="7"/>
      <c r="P1099" s="35"/>
      <c r="Q1099" s="7"/>
    </row>
    <row r="1100">
      <c r="A1100" s="7">
        <v>1095.0</v>
      </c>
      <c r="B1100" s="7" t="s">
        <v>265</v>
      </c>
      <c r="C1100" s="7" t="str">
        <f>IFERROR(__xludf.DUMMYFUNCTION("GOOGLETRANSLATE($B1100, $A$2, $B$2)"),"More than 30 days ago")</f>
        <v>More than 30 days ago</v>
      </c>
      <c r="D1100" s="7" t="s">
        <v>2155</v>
      </c>
      <c r="E1100" s="7" t="s">
        <v>2156</v>
      </c>
      <c r="F1100" s="7" t="s">
        <v>2157</v>
      </c>
      <c r="G1100" s="7" t="s">
        <v>260</v>
      </c>
      <c r="H1100" s="7" t="s">
        <v>261</v>
      </c>
      <c r="I1100" s="7" t="s">
        <v>261</v>
      </c>
      <c r="J1100" s="7" t="str">
        <f>IFERROR(__xludf.DUMMYFUNCTION("GOOGLETRANSLATE($I1100, ""de"", ""en"")"),"NO SALARY DATA")</f>
        <v>NO SALARY DATA</v>
      </c>
      <c r="K1100" s="7" t="s">
        <v>261</v>
      </c>
      <c r="L1100" s="7" t="s">
        <v>777</v>
      </c>
      <c r="M1100" s="7" t="s">
        <v>263</v>
      </c>
      <c r="N1100" s="7" t="s">
        <v>1385</v>
      </c>
      <c r="O1100" s="7"/>
      <c r="P1100" s="37"/>
      <c r="Q1100" s="7"/>
    </row>
    <row r="1101">
      <c r="A1101" s="7">
        <v>1096.0</v>
      </c>
      <c r="B1101" s="7" t="s">
        <v>288</v>
      </c>
      <c r="C1101" s="7" t="str">
        <f>IFERROR(__xludf.DUMMYFUNCTION("GOOGLETRANSLATE($B1101, $A$2, $B$2)"),"2 days ago")</f>
        <v>2 days ago</v>
      </c>
      <c r="D1101" s="7" t="s">
        <v>2023</v>
      </c>
      <c r="E1101" s="7" t="s">
        <v>271</v>
      </c>
      <c r="F1101" s="7" t="s">
        <v>1987</v>
      </c>
      <c r="G1101" s="7" t="s">
        <v>260</v>
      </c>
      <c r="H1101" s="7" t="s">
        <v>261</v>
      </c>
      <c r="I1101" s="7" t="s">
        <v>261</v>
      </c>
      <c r="J1101" s="7" t="str">
        <f>IFERROR(__xludf.DUMMYFUNCTION("GOOGLETRANSLATE($I1101, ""de"", ""en"")"),"NO SALARY DATA")</f>
        <v>NO SALARY DATA</v>
      </c>
      <c r="K1101" s="7" t="s">
        <v>261</v>
      </c>
      <c r="L1101" s="7" t="s">
        <v>419</v>
      </c>
      <c r="M1101" s="7" t="s">
        <v>263</v>
      </c>
      <c r="N1101" s="7" t="s">
        <v>260</v>
      </c>
      <c r="O1101" s="7"/>
      <c r="P1101" s="37"/>
      <c r="Q1101" s="7"/>
    </row>
    <row r="1102">
      <c r="A1102" s="7">
        <v>1097.0</v>
      </c>
      <c r="B1102" s="7" t="s">
        <v>324</v>
      </c>
      <c r="C1102" s="7" t="str">
        <f>IFERROR(__xludf.DUMMYFUNCTION("GOOGLETRANSLATE($B1102, $A$2, $B$2)"),"3 days ago")</f>
        <v>3 days ago</v>
      </c>
      <c r="D1102" s="7" t="s">
        <v>1988</v>
      </c>
      <c r="E1102" s="7" t="s">
        <v>401</v>
      </c>
      <c r="F1102" s="7" t="s">
        <v>1989</v>
      </c>
      <c r="G1102" s="7" t="s">
        <v>260</v>
      </c>
      <c r="H1102" s="7" t="s">
        <v>261</v>
      </c>
      <c r="I1102" s="7" t="s">
        <v>261</v>
      </c>
      <c r="J1102" s="7" t="str">
        <f>IFERROR(__xludf.DUMMYFUNCTION("GOOGLETRANSLATE($I1102, ""de"", ""en"")"),"NO SALARY DATA")</f>
        <v>NO SALARY DATA</v>
      </c>
      <c r="K1102" s="7" t="s">
        <v>261</v>
      </c>
      <c r="L1102" s="7"/>
      <c r="M1102" s="7" t="s">
        <v>263</v>
      </c>
      <c r="N1102" s="7" t="s">
        <v>260</v>
      </c>
      <c r="O1102" s="7"/>
      <c r="P1102" s="37"/>
      <c r="Q1102" s="7"/>
    </row>
    <row r="1103">
      <c r="A1103" s="7">
        <v>1098.0</v>
      </c>
      <c r="B1103" s="7" t="s">
        <v>332</v>
      </c>
      <c r="C1103" s="7" t="str">
        <f>IFERROR(__xludf.DUMMYFUNCTION("GOOGLETRANSLATE($B1103, $A$2, $B$2)"),"4 days ago")</f>
        <v>4 days ago</v>
      </c>
      <c r="D1103" s="7" t="s">
        <v>1988</v>
      </c>
      <c r="E1103" s="7" t="s">
        <v>401</v>
      </c>
      <c r="F1103" s="7" t="s">
        <v>1989</v>
      </c>
      <c r="G1103" s="7" t="s">
        <v>260</v>
      </c>
      <c r="H1103" s="7" t="s">
        <v>261</v>
      </c>
      <c r="I1103" s="7" t="s">
        <v>261</v>
      </c>
      <c r="J1103" s="7" t="str">
        <f>IFERROR(__xludf.DUMMYFUNCTION("GOOGLETRANSLATE($I1103, ""de"", ""en"")"),"NO SALARY DATA")</f>
        <v>NO SALARY DATA</v>
      </c>
      <c r="K1103" s="7" t="s">
        <v>261</v>
      </c>
      <c r="L1103" s="7"/>
      <c r="M1103" s="7" t="s">
        <v>263</v>
      </c>
      <c r="N1103" s="7" t="s">
        <v>260</v>
      </c>
      <c r="O1103" s="7"/>
      <c r="P1103" s="35"/>
      <c r="Q1103" s="7"/>
    </row>
    <row r="1104">
      <c r="A1104" s="7">
        <v>1099.0</v>
      </c>
      <c r="B1104" s="7" t="s">
        <v>892</v>
      </c>
      <c r="C1104" s="7" t="str">
        <f>IFERROR(__xludf.DUMMYFUNCTION("GOOGLETRANSLATE($B1104, $A$2, $B$2)"),"25 days ago")</f>
        <v>25 days ago</v>
      </c>
      <c r="D1104" s="7" t="s">
        <v>2044</v>
      </c>
      <c r="E1104" s="7" t="s">
        <v>258</v>
      </c>
      <c r="F1104" s="7" t="s">
        <v>665</v>
      </c>
      <c r="G1104" s="7" t="s">
        <v>260</v>
      </c>
      <c r="H1104" s="7" t="s">
        <v>261</v>
      </c>
      <c r="I1104" s="7" t="s">
        <v>261</v>
      </c>
      <c r="J1104" s="7" t="str">
        <f>IFERROR(__xludf.DUMMYFUNCTION("GOOGLETRANSLATE($I1104, ""de"", ""en"")"),"NO SALARY DATA")</f>
        <v>NO SALARY DATA</v>
      </c>
      <c r="K1104" s="7" t="s">
        <v>261</v>
      </c>
      <c r="L1104" s="7" t="s">
        <v>2045</v>
      </c>
      <c r="M1104" s="7" t="s">
        <v>667</v>
      </c>
      <c r="N1104" s="7" t="s">
        <v>486</v>
      </c>
      <c r="O1104" s="7"/>
      <c r="P1104" s="37"/>
      <c r="Q1104" s="7"/>
    </row>
    <row r="1105">
      <c r="A1105" s="7">
        <v>1100.0</v>
      </c>
      <c r="B1105" s="7" t="s">
        <v>1271</v>
      </c>
      <c r="C1105" s="7" t="str">
        <f>IFERROR(__xludf.DUMMYFUNCTION("GOOGLETRANSLATE($B1105, $A$2, $B$2)"),"27 days ago")</f>
        <v>27 days ago</v>
      </c>
      <c r="D1105" s="7" t="s">
        <v>1990</v>
      </c>
      <c r="E1105" s="7" t="s">
        <v>348</v>
      </c>
      <c r="F1105" s="7" t="s">
        <v>1991</v>
      </c>
      <c r="G1105" s="7" t="s">
        <v>1992</v>
      </c>
      <c r="H1105" s="7">
        <v>100000.0</v>
      </c>
      <c r="I1105" s="7" t="s">
        <v>384</v>
      </c>
      <c r="J1105" s="7" t="str">
        <f>IFERROR(__xludf.DUMMYFUNCTION("GOOGLETRANSLATE($I1105, ""de"", ""en"")"),"year")</f>
        <v>year</v>
      </c>
      <c r="K1105" s="7">
        <v>100000.0</v>
      </c>
      <c r="L1105" s="7" t="s">
        <v>777</v>
      </c>
      <c r="M1105" s="7" t="s">
        <v>673</v>
      </c>
      <c r="N1105" s="7" t="s">
        <v>260</v>
      </c>
      <c r="O1105" s="7"/>
      <c r="P1105" s="37"/>
      <c r="Q1105" s="7"/>
    </row>
    <row r="1106">
      <c r="A1106" s="7">
        <v>1101.0</v>
      </c>
      <c r="B1106" s="7" t="s">
        <v>332</v>
      </c>
      <c r="C1106" s="7" t="str">
        <f>IFERROR(__xludf.DUMMYFUNCTION("GOOGLETRANSLATE($B1106, $A$2, $B$2)"),"4 days ago")</f>
        <v>4 days ago</v>
      </c>
      <c r="D1106" s="7" t="s">
        <v>1988</v>
      </c>
      <c r="E1106" s="7" t="s">
        <v>401</v>
      </c>
      <c r="F1106" s="7" t="s">
        <v>1989</v>
      </c>
      <c r="G1106" s="7" t="s">
        <v>260</v>
      </c>
      <c r="H1106" s="7" t="s">
        <v>261</v>
      </c>
      <c r="I1106" s="7" t="s">
        <v>261</v>
      </c>
      <c r="J1106" s="7" t="str">
        <f>IFERROR(__xludf.DUMMYFUNCTION("GOOGLETRANSLATE($I1106, ""de"", ""en"")"),"NO SALARY DATA")</f>
        <v>NO SALARY DATA</v>
      </c>
      <c r="K1106" s="7" t="s">
        <v>261</v>
      </c>
      <c r="L1106" s="7"/>
      <c r="M1106" s="7" t="s">
        <v>263</v>
      </c>
      <c r="N1106" s="7" t="s">
        <v>260</v>
      </c>
      <c r="O1106" s="7"/>
      <c r="P1106" s="37"/>
      <c r="Q1106" s="7"/>
    </row>
    <row r="1107">
      <c r="A1107" s="7">
        <v>1102.0</v>
      </c>
      <c r="B1107" s="7" t="s">
        <v>265</v>
      </c>
      <c r="C1107" s="7" t="str">
        <f>IFERROR(__xludf.DUMMYFUNCTION("GOOGLETRANSLATE($B1107, $A$2, $B$2)"),"More than 30 days ago")</f>
        <v>More than 30 days ago</v>
      </c>
      <c r="D1107" s="7" t="s">
        <v>2160</v>
      </c>
      <c r="E1107" s="7" t="s">
        <v>348</v>
      </c>
      <c r="F1107" s="7" t="s">
        <v>2161</v>
      </c>
      <c r="G1107" s="7" t="s">
        <v>260</v>
      </c>
      <c r="H1107" s="7" t="s">
        <v>261</v>
      </c>
      <c r="I1107" s="7" t="s">
        <v>261</v>
      </c>
      <c r="J1107" s="7" t="str">
        <f>IFERROR(__xludf.DUMMYFUNCTION("GOOGLETRANSLATE($I1107, ""de"", ""en"")"),"NO SALARY DATA")</f>
        <v>NO SALARY DATA</v>
      </c>
      <c r="K1107" s="7" t="s">
        <v>261</v>
      </c>
      <c r="L1107" s="7"/>
      <c r="M1107" s="7" t="s">
        <v>673</v>
      </c>
      <c r="N1107" s="7" t="s">
        <v>260</v>
      </c>
      <c r="O1107" s="7"/>
      <c r="P1107" s="37"/>
      <c r="Q1107" s="7"/>
    </row>
    <row r="1108">
      <c r="A1108" s="7">
        <v>1103.0</v>
      </c>
      <c r="B1108" s="7" t="s">
        <v>705</v>
      </c>
      <c r="C1108" s="7" t="str">
        <f>IFERROR(__xludf.DUMMYFUNCTION("GOOGLETRANSLATE($B1108, $A$2, $B$2)"),"9 days ago")</f>
        <v>9 days ago</v>
      </c>
      <c r="D1108" s="7" t="s">
        <v>1943</v>
      </c>
      <c r="E1108" s="7" t="s">
        <v>1944</v>
      </c>
      <c r="F1108" s="7" t="s">
        <v>1945</v>
      </c>
      <c r="G1108" s="7" t="s">
        <v>260</v>
      </c>
      <c r="H1108" s="7" t="s">
        <v>261</v>
      </c>
      <c r="I1108" s="7" t="s">
        <v>261</v>
      </c>
      <c r="J1108" s="7" t="str">
        <f>IFERROR(__xludf.DUMMYFUNCTION("GOOGLETRANSLATE($I1108, ""de"", ""en"")"),"NO SALARY DATA")</f>
        <v>NO SALARY DATA</v>
      </c>
      <c r="K1108" s="7" t="s">
        <v>261</v>
      </c>
      <c r="L1108" s="7" t="s">
        <v>777</v>
      </c>
      <c r="M1108" s="7" t="s">
        <v>263</v>
      </c>
      <c r="N1108" s="7" t="s">
        <v>260</v>
      </c>
      <c r="O1108" s="7"/>
      <c r="P1108" s="37"/>
      <c r="Q1108" s="7"/>
    </row>
    <row r="1109">
      <c r="A1109" s="7">
        <v>1104.0</v>
      </c>
      <c r="B1109" s="7" t="s">
        <v>302</v>
      </c>
      <c r="C1109" s="7" t="str">
        <f>IFERROR(__xludf.DUMMYFUNCTION("GOOGLETRANSLATE($B1109, $A$2, $B$2)"),"today")</f>
        <v>today</v>
      </c>
      <c r="D1109" s="7" t="s">
        <v>2064</v>
      </c>
      <c r="E1109" s="7" t="s">
        <v>2065</v>
      </c>
      <c r="F1109" s="7" t="s">
        <v>2066</v>
      </c>
      <c r="G1109" s="7" t="s">
        <v>260</v>
      </c>
      <c r="H1109" s="7" t="s">
        <v>261</v>
      </c>
      <c r="I1109" s="7" t="s">
        <v>261</v>
      </c>
      <c r="J1109" s="7" t="str">
        <f>IFERROR(__xludf.DUMMYFUNCTION("GOOGLETRANSLATE($I1109, ""de"", ""en"")"),"NO SALARY DATA")</f>
        <v>NO SALARY DATA</v>
      </c>
      <c r="K1109" s="7" t="s">
        <v>261</v>
      </c>
      <c r="L1109" s="7"/>
      <c r="M1109" s="7" t="s">
        <v>263</v>
      </c>
      <c r="N1109" s="7" t="s">
        <v>260</v>
      </c>
      <c r="O1109" s="7"/>
      <c r="P1109" s="37"/>
      <c r="Q1109" s="7"/>
    </row>
    <row r="1110">
      <c r="A1110" s="7">
        <v>1105.0</v>
      </c>
      <c r="B1110" s="7" t="s">
        <v>256</v>
      </c>
      <c r="C1110" s="7" t="str">
        <f>IFERROR(__xludf.DUMMYFUNCTION("GOOGLETRANSLATE($B1110, $A$2, $B$2)"),"7 days ago")</f>
        <v>7 days ago</v>
      </c>
      <c r="D1110" s="7" t="s">
        <v>2004</v>
      </c>
      <c r="E1110" s="7" t="s">
        <v>348</v>
      </c>
      <c r="F1110" s="7" t="s">
        <v>2005</v>
      </c>
      <c r="G1110" s="7" t="s">
        <v>260</v>
      </c>
      <c r="H1110" s="7" t="s">
        <v>261</v>
      </c>
      <c r="I1110" s="7" t="s">
        <v>261</v>
      </c>
      <c r="J1110" s="7" t="str">
        <f>IFERROR(__xludf.DUMMYFUNCTION("GOOGLETRANSLATE($I1110, ""de"", ""en"")"),"NO SALARY DATA")</f>
        <v>NO SALARY DATA</v>
      </c>
      <c r="K1110" s="7" t="s">
        <v>261</v>
      </c>
      <c r="L1110" s="7" t="s">
        <v>1077</v>
      </c>
      <c r="M1110" s="7" t="s">
        <v>263</v>
      </c>
      <c r="N1110" s="7" t="s">
        <v>260</v>
      </c>
      <c r="O1110" s="7"/>
      <c r="P1110" s="35"/>
      <c r="Q1110" s="7"/>
    </row>
    <row r="1111">
      <c r="A1111" s="7">
        <v>1106.0</v>
      </c>
      <c r="B1111" s="7" t="s">
        <v>346</v>
      </c>
      <c r="C1111" s="7" t="str">
        <f>IFERROR(__xludf.DUMMYFUNCTION("GOOGLETRANSLATE($B1111, $A$2, $B$2)"),"12 days ago")</f>
        <v>12 days ago</v>
      </c>
      <c r="D1111" s="7" t="s">
        <v>573</v>
      </c>
      <c r="E1111" s="7" t="s">
        <v>539</v>
      </c>
      <c r="F1111" s="7" t="s">
        <v>1977</v>
      </c>
      <c r="G1111" s="7" t="s">
        <v>260</v>
      </c>
      <c r="H1111" s="7" t="s">
        <v>261</v>
      </c>
      <c r="I1111" s="7" t="s">
        <v>261</v>
      </c>
      <c r="J1111" s="7" t="str">
        <f>IFERROR(__xludf.DUMMYFUNCTION("GOOGLETRANSLATE($I1111, ""de"", ""en"")"),"NO SALARY DATA")</f>
        <v>NO SALARY DATA</v>
      </c>
      <c r="K1111" s="7" t="s">
        <v>261</v>
      </c>
      <c r="L1111" s="7" t="s">
        <v>312</v>
      </c>
      <c r="M1111" s="7" t="s">
        <v>263</v>
      </c>
      <c r="N1111" s="7" t="s">
        <v>331</v>
      </c>
      <c r="O1111" s="7"/>
      <c r="P1111" s="37"/>
      <c r="Q1111" s="7"/>
    </row>
    <row r="1112">
      <c r="A1112" s="7">
        <v>1107.0</v>
      </c>
      <c r="B1112" s="7" t="s">
        <v>395</v>
      </c>
      <c r="C1112" s="7" t="str">
        <f>IFERROR(__xludf.DUMMYFUNCTION("GOOGLETRANSLATE($B1112, $A$2, $B$2)"),"21 days ago")</f>
        <v>21 days ago</v>
      </c>
      <c r="D1112" s="7" t="s">
        <v>2078</v>
      </c>
      <c r="E1112" s="7" t="s">
        <v>343</v>
      </c>
      <c r="F1112" s="7" t="s">
        <v>2062</v>
      </c>
      <c r="G1112" s="7" t="s">
        <v>2079</v>
      </c>
      <c r="H1112" s="7">
        <v>72500.0</v>
      </c>
      <c r="I1112" s="7" t="s">
        <v>384</v>
      </c>
      <c r="J1112" s="7" t="str">
        <f>IFERROR(__xludf.DUMMYFUNCTION("GOOGLETRANSLATE($I1112, ""de"", ""en"")"),"year")</f>
        <v>year</v>
      </c>
      <c r="K1112" s="7">
        <v>72500.0</v>
      </c>
      <c r="L1112" s="7" t="s">
        <v>2080</v>
      </c>
      <c r="M1112" s="7" t="s">
        <v>263</v>
      </c>
      <c r="N1112" s="7" t="s">
        <v>260</v>
      </c>
      <c r="O1112" s="7"/>
      <c r="P1112" s="37"/>
      <c r="Q1112" s="7"/>
    </row>
    <row r="1113">
      <c r="A1113" s="7">
        <v>1108.0</v>
      </c>
      <c r="B1113" s="7" t="s">
        <v>269</v>
      </c>
      <c r="C1113" s="7" t="str">
        <f>IFERROR(__xludf.DUMMYFUNCTION("GOOGLETRANSLATE($B1113, $A$2, $B$2)"),"5 days ago")</f>
        <v>5 days ago</v>
      </c>
      <c r="D1113" s="7" t="s">
        <v>1923</v>
      </c>
      <c r="E1113" s="7" t="s">
        <v>258</v>
      </c>
      <c r="F1113" s="7" t="s">
        <v>1924</v>
      </c>
      <c r="G1113" s="7" t="s">
        <v>1925</v>
      </c>
      <c r="H1113" s="7">
        <v>70000.0</v>
      </c>
      <c r="I1113" s="7" t="s">
        <v>384</v>
      </c>
      <c r="J1113" s="7" t="str">
        <f>IFERROR(__xludf.DUMMYFUNCTION("GOOGLETRANSLATE($I1113, ""de"", ""en"")"),"year")</f>
        <v>year</v>
      </c>
      <c r="K1113" s="7">
        <v>70000.0</v>
      </c>
      <c r="L1113" s="7" t="s">
        <v>490</v>
      </c>
      <c r="M1113" s="7" t="s">
        <v>263</v>
      </c>
      <c r="N1113" s="7" t="s">
        <v>260</v>
      </c>
      <c r="O1113" s="7"/>
      <c r="P1113" s="37"/>
      <c r="Q1113" s="7"/>
    </row>
    <row r="1114">
      <c r="A1114" s="7">
        <v>1109.0</v>
      </c>
      <c r="B1114" s="7" t="s">
        <v>371</v>
      </c>
      <c r="C1114" s="7" t="str">
        <f>IFERROR(__xludf.DUMMYFUNCTION("GOOGLETRANSLATE($B1114, $A$2, $B$2)"),"Straight")</f>
        <v>Straight</v>
      </c>
      <c r="D1114" s="7" t="s">
        <v>2162</v>
      </c>
      <c r="E1114" s="7" t="s">
        <v>2163</v>
      </c>
      <c r="F1114" s="7" t="s">
        <v>2164</v>
      </c>
      <c r="G1114" s="7" t="s">
        <v>260</v>
      </c>
      <c r="H1114" s="7" t="s">
        <v>261</v>
      </c>
      <c r="I1114" s="7" t="s">
        <v>261</v>
      </c>
      <c r="J1114" s="7" t="str">
        <f>IFERROR(__xludf.DUMMYFUNCTION("GOOGLETRANSLATE($I1114, ""de"", ""en"")"),"NO SALARY DATA")</f>
        <v>NO SALARY DATA</v>
      </c>
      <c r="K1114" s="7" t="s">
        <v>261</v>
      </c>
      <c r="L1114" s="7"/>
      <c r="M1114" s="7" t="s">
        <v>673</v>
      </c>
      <c r="N1114" s="7" t="s">
        <v>260</v>
      </c>
      <c r="O1114" s="7"/>
      <c r="P1114" s="35"/>
      <c r="Q1114" s="7"/>
    </row>
    <row r="1115">
      <c r="A1115" s="7">
        <v>1110.0</v>
      </c>
      <c r="B1115" s="7" t="s">
        <v>288</v>
      </c>
      <c r="C1115" s="7" t="str">
        <f>IFERROR(__xludf.DUMMYFUNCTION("GOOGLETRANSLATE($B1115, $A$2, $B$2)"),"2 days ago")</f>
        <v>2 days ago</v>
      </c>
      <c r="D1115" s="7" t="s">
        <v>1965</v>
      </c>
      <c r="E1115" s="7" t="s">
        <v>408</v>
      </c>
      <c r="F1115" s="7" t="s">
        <v>1966</v>
      </c>
      <c r="G1115" s="7" t="s">
        <v>260</v>
      </c>
      <c r="H1115" s="7" t="s">
        <v>261</v>
      </c>
      <c r="I1115" s="7" t="s">
        <v>261</v>
      </c>
      <c r="J1115" s="7" t="str">
        <f>IFERROR(__xludf.DUMMYFUNCTION("GOOGLETRANSLATE($I1115, ""de"", ""en"")"),"NO SALARY DATA")</f>
        <v>NO SALARY DATA</v>
      </c>
      <c r="K1115" s="7" t="s">
        <v>261</v>
      </c>
      <c r="L1115" s="7" t="s">
        <v>1741</v>
      </c>
      <c r="M1115" s="7" t="s">
        <v>263</v>
      </c>
      <c r="N1115" s="7" t="s">
        <v>275</v>
      </c>
      <c r="O1115" s="7"/>
      <c r="P1115" s="37"/>
      <c r="Q1115" s="7"/>
    </row>
    <row r="1116">
      <c r="A1116" s="7">
        <v>1111.0</v>
      </c>
      <c r="B1116" s="7" t="s">
        <v>371</v>
      </c>
      <c r="C1116" s="7" t="str">
        <f>IFERROR(__xludf.DUMMYFUNCTION("GOOGLETRANSLATE($B1116, $A$2, $B$2)"),"Straight")</f>
        <v>Straight</v>
      </c>
      <c r="D1116" s="7" t="s">
        <v>2162</v>
      </c>
      <c r="E1116" s="7" t="s">
        <v>2163</v>
      </c>
      <c r="F1116" s="7" t="s">
        <v>2164</v>
      </c>
      <c r="G1116" s="7" t="s">
        <v>260</v>
      </c>
      <c r="H1116" s="7" t="s">
        <v>261</v>
      </c>
      <c r="I1116" s="7" t="s">
        <v>261</v>
      </c>
      <c r="J1116" s="7" t="str">
        <f>IFERROR(__xludf.DUMMYFUNCTION("GOOGLETRANSLATE($I1116, ""de"", ""en"")"),"NO SALARY DATA")</f>
        <v>NO SALARY DATA</v>
      </c>
      <c r="K1116" s="7" t="s">
        <v>261</v>
      </c>
      <c r="L1116" s="7"/>
      <c r="M1116" s="7" t="s">
        <v>673</v>
      </c>
      <c r="N1116" s="7" t="s">
        <v>260</v>
      </c>
      <c r="O1116" s="7"/>
      <c r="P1116" s="37"/>
      <c r="Q1116" s="7"/>
    </row>
    <row r="1117">
      <c r="A1117" s="7">
        <v>1112.0</v>
      </c>
      <c r="B1117" s="7" t="s">
        <v>341</v>
      </c>
      <c r="C1117" s="7" t="str">
        <f>IFERROR(__xludf.DUMMYFUNCTION("GOOGLETRANSLATE($B1117, $A$2, $B$2)"),"before 14 days")</f>
        <v>before 14 days</v>
      </c>
      <c r="D1117" s="7" t="s">
        <v>1999</v>
      </c>
      <c r="E1117" s="7" t="s">
        <v>271</v>
      </c>
      <c r="F1117" s="7" t="s">
        <v>2000</v>
      </c>
      <c r="G1117" s="7" t="s">
        <v>260</v>
      </c>
      <c r="H1117" s="7" t="s">
        <v>261</v>
      </c>
      <c r="I1117" s="7" t="s">
        <v>261</v>
      </c>
      <c r="J1117" s="7" t="str">
        <f>IFERROR(__xludf.DUMMYFUNCTION("GOOGLETRANSLATE($I1117, ""de"", ""en"")"),"NO SALARY DATA")</f>
        <v>NO SALARY DATA</v>
      </c>
      <c r="K1117" s="7" t="s">
        <v>261</v>
      </c>
      <c r="L1117" s="7"/>
      <c r="M1117" s="7" t="s">
        <v>263</v>
      </c>
      <c r="N1117" s="7" t="s">
        <v>260</v>
      </c>
      <c r="O1117" s="7"/>
      <c r="P1117" s="37"/>
      <c r="Q1117" s="7"/>
    </row>
    <row r="1118">
      <c r="A1118" s="7">
        <v>1113.0</v>
      </c>
      <c r="B1118" s="7" t="s">
        <v>288</v>
      </c>
      <c r="C1118" s="7" t="str">
        <f>IFERROR(__xludf.DUMMYFUNCTION("GOOGLETRANSLATE($B1118, $A$2, $B$2)"),"2 days ago")</f>
        <v>2 days ago</v>
      </c>
      <c r="D1118" s="7" t="s">
        <v>2055</v>
      </c>
      <c r="E1118" s="7" t="s">
        <v>401</v>
      </c>
      <c r="F1118" s="7" t="s">
        <v>2056</v>
      </c>
      <c r="G1118" s="7" t="s">
        <v>260</v>
      </c>
      <c r="H1118" s="7" t="s">
        <v>261</v>
      </c>
      <c r="I1118" s="7" t="s">
        <v>261</v>
      </c>
      <c r="J1118" s="7" t="str">
        <f>IFERROR(__xludf.DUMMYFUNCTION("GOOGLETRANSLATE($I1118, ""de"", ""en"")"),"NO SALARY DATA")</f>
        <v>NO SALARY DATA</v>
      </c>
      <c r="K1118" s="7" t="s">
        <v>261</v>
      </c>
      <c r="L1118" s="7"/>
      <c r="M1118" s="7" t="s">
        <v>263</v>
      </c>
      <c r="N1118" s="7" t="s">
        <v>260</v>
      </c>
      <c r="O1118" s="7"/>
      <c r="P1118" s="37"/>
      <c r="Q1118" s="7"/>
    </row>
    <row r="1119">
      <c r="A1119" s="7">
        <v>1114.0</v>
      </c>
      <c r="B1119" s="7" t="s">
        <v>288</v>
      </c>
      <c r="C1119" s="7" t="str">
        <f>IFERROR(__xludf.DUMMYFUNCTION("GOOGLETRANSLATE($B1119, $A$2, $B$2)"),"2 days ago")</f>
        <v>2 days ago</v>
      </c>
      <c r="D1119" s="7" t="s">
        <v>2090</v>
      </c>
      <c r="E1119" s="7" t="s">
        <v>401</v>
      </c>
      <c r="F1119" s="7" t="s">
        <v>2056</v>
      </c>
      <c r="G1119" s="7" t="s">
        <v>260</v>
      </c>
      <c r="H1119" s="7" t="s">
        <v>261</v>
      </c>
      <c r="I1119" s="7" t="s">
        <v>261</v>
      </c>
      <c r="J1119" s="7" t="str">
        <f>IFERROR(__xludf.DUMMYFUNCTION("GOOGLETRANSLATE($I1119, ""de"", ""en"")"),"NO SALARY DATA")</f>
        <v>NO SALARY DATA</v>
      </c>
      <c r="K1119" s="7" t="s">
        <v>261</v>
      </c>
      <c r="L1119" s="7" t="s">
        <v>286</v>
      </c>
      <c r="M1119" s="7" t="s">
        <v>263</v>
      </c>
      <c r="N1119" s="7" t="s">
        <v>260</v>
      </c>
      <c r="O1119" s="7"/>
      <c r="P1119" s="35"/>
      <c r="Q1119" s="7"/>
    </row>
    <row r="1120">
      <c r="A1120" s="7">
        <v>1115.0</v>
      </c>
      <c r="B1120" s="7" t="s">
        <v>265</v>
      </c>
      <c r="C1120" s="7" t="str">
        <f>IFERROR(__xludf.DUMMYFUNCTION("GOOGLETRANSLATE($B1120, $A$2, $B$2)"),"More than 30 days ago")</f>
        <v>More than 30 days ago</v>
      </c>
      <c r="D1120" s="7" t="s">
        <v>2165</v>
      </c>
      <c r="E1120" s="7" t="s">
        <v>343</v>
      </c>
      <c r="F1120" s="7" t="s">
        <v>506</v>
      </c>
      <c r="G1120" s="7" t="s">
        <v>260</v>
      </c>
      <c r="H1120" s="7" t="s">
        <v>261</v>
      </c>
      <c r="I1120" s="7" t="s">
        <v>261</v>
      </c>
      <c r="J1120" s="7" t="str">
        <f>IFERROR(__xludf.DUMMYFUNCTION("GOOGLETRANSLATE($I1120, ""de"", ""en"")"),"NO SALARY DATA")</f>
        <v>NO SALARY DATA</v>
      </c>
      <c r="K1120" s="7" t="s">
        <v>261</v>
      </c>
      <c r="L1120" s="7" t="s">
        <v>455</v>
      </c>
      <c r="M1120" s="7" t="s">
        <v>263</v>
      </c>
      <c r="N1120" s="7" t="s">
        <v>507</v>
      </c>
      <c r="O1120" s="7"/>
      <c r="P1120" s="37"/>
      <c r="Q1120" s="7"/>
    </row>
    <row r="1121">
      <c r="A1121" s="7">
        <v>1116.0</v>
      </c>
      <c r="B1121" s="7" t="s">
        <v>371</v>
      </c>
      <c r="C1121" s="7" t="str">
        <f>IFERROR(__xludf.DUMMYFUNCTION("GOOGLETRANSLATE($B1121, $A$2, $B$2)"),"Straight")</f>
        <v>Straight</v>
      </c>
      <c r="D1121" s="7" t="s">
        <v>2166</v>
      </c>
      <c r="E1121" s="7" t="s">
        <v>2163</v>
      </c>
      <c r="F1121" s="7" t="s">
        <v>2164</v>
      </c>
      <c r="G1121" s="7" t="s">
        <v>260</v>
      </c>
      <c r="H1121" s="7" t="s">
        <v>261</v>
      </c>
      <c r="I1121" s="7" t="s">
        <v>261</v>
      </c>
      <c r="J1121" s="7" t="str">
        <f>IFERROR(__xludf.DUMMYFUNCTION("GOOGLETRANSLATE($I1121, ""de"", ""en"")"),"NO SALARY DATA")</f>
        <v>NO SALARY DATA</v>
      </c>
      <c r="K1121" s="7" t="s">
        <v>261</v>
      </c>
      <c r="L1121" s="7"/>
      <c r="M1121" s="7" t="s">
        <v>673</v>
      </c>
      <c r="N1121" s="7" t="s">
        <v>260</v>
      </c>
      <c r="O1121" s="7"/>
      <c r="P1121" s="35"/>
      <c r="Q1121" s="7"/>
    </row>
    <row r="1122">
      <c r="A1122" s="7">
        <v>1117.0</v>
      </c>
      <c r="B1122" s="7" t="s">
        <v>265</v>
      </c>
      <c r="C1122" s="7" t="str">
        <f>IFERROR(__xludf.DUMMYFUNCTION("GOOGLETRANSLATE($B1122, $A$2, $B$2)"),"More than 30 days ago")</f>
        <v>More than 30 days ago</v>
      </c>
      <c r="D1122" s="7" t="s">
        <v>1679</v>
      </c>
      <c r="E1122" s="7" t="s">
        <v>343</v>
      </c>
      <c r="F1122" s="7" t="s">
        <v>506</v>
      </c>
      <c r="G1122" s="7" t="s">
        <v>260</v>
      </c>
      <c r="H1122" s="7" t="s">
        <v>261</v>
      </c>
      <c r="I1122" s="7" t="s">
        <v>261</v>
      </c>
      <c r="J1122" s="7" t="str">
        <f>IFERROR(__xludf.DUMMYFUNCTION("GOOGLETRANSLATE($I1122, ""de"", ""en"")"),"NO SALARY DATA")</f>
        <v>NO SALARY DATA</v>
      </c>
      <c r="K1122" s="7" t="s">
        <v>261</v>
      </c>
      <c r="L1122" s="7"/>
      <c r="M1122" s="7" t="s">
        <v>263</v>
      </c>
      <c r="N1122" s="7" t="s">
        <v>507</v>
      </c>
      <c r="O1122" s="7"/>
      <c r="P1122" s="37"/>
      <c r="Q1122" s="7"/>
    </row>
    <row r="1123">
      <c r="A1123" s="7">
        <v>1118.0</v>
      </c>
      <c r="B1123" s="7" t="s">
        <v>288</v>
      </c>
      <c r="C1123" s="7" t="str">
        <f>IFERROR(__xludf.DUMMYFUNCTION("GOOGLETRANSLATE($B1123, $A$2, $B$2)"),"2 days ago")</f>
        <v>2 days ago</v>
      </c>
      <c r="D1123" s="7" t="s">
        <v>2090</v>
      </c>
      <c r="E1123" s="7" t="s">
        <v>2103</v>
      </c>
      <c r="F1123" s="7" t="s">
        <v>2056</v>
      </c>
      <c r="G1123" s="7" t="s">
        <v>260</v>
      </c>
      <c r="H1123" s="7" t="s">
        <v>261</v>
      </c>
      <c r="I1123" s="7" t="s">
        <v>261</v>
      </c>
      <c r="J1123" s="7" t="str">
        <f>IFERROR(__xludf.DUMMYFUNCTION("GOOGLETRANSLATE($I1123, ""de"", ""en"")"),"NO SALARY DATA")</f>
        <v>NO SALARY DATA</v>
      </c>
      <c r="K1123" s="7" t="s">
        <v>261</v>
      </c>
      <c r="L1123" s="7" t="s">
        <v>286</v>
      </c>
      <c r="M1123" s="7" t="s">
        <v>263</v>
      </c>
      <c r="N1123" s="7" t="s">
        <v>260</v>
      </c>
      <c r="O1123" s="7"/>
      <c r="P1123" s="35"/>
      <c r="Q1123" s="7"/>
    </row>
    <row r="1124">
      <c r="A1124" s="7">
        <v>1119.0</v>
      </c>
      <c r="B1124" s="7" t="s">
        <v>265</v>
      </c>
      <c r="C1124" s="7" t="str">
        <f>IFERROR(__xludf.DUMMYFUNCTION("GOOGLETRANSLATE($B1124, $A$2, $B$2)"),"More than 30 days ago")</f>
        <v>More than 30 days ago</v>
      </c>
      <c r="D1124" s="7" t="s">
        <v>1427</v>
      </c>
      <c r="E1124" s="7" t="s">
        <v>343</v>
      </c>
      <c r="F1124" s="7" t="s">
        <v>506</v>
      </c>
      <c r="G1124" s="7" t="s">
        <v>260</v>
      </c>
      <c r="H1124" s="7" t="s">
        <v>261</v>
      </c>
      <c r="I1124" s="7" t="s">
        <v>261</v>
      </c>
      <c r="J1124" s="7" t="str">
        <f>IFERROR(__xludf.DUMMYFUNCTION("GOOGLETRANSLATE($I1124, ""de"", ""en"")"),"NO SALARY DATA")</f>
        <v>NO SALARY DATA</v>
      </c>
      <c r="K1124" s="7" t="s">
        <v>261</v>
      </c>
      <c r="L1124" s="7" t="s">
        <v>585</v>
      </c>
      <c r="M1124" s="7" t="s">
        <v>263</v>
      </c>
      <c r="N1124" s="7" t="s">
        <v>507</v>
      </c>
      <c r="O1124" s="7"/>
      <c r="P1124" s="37"/>
      <c r="Q1124" s="7"/>
    </row>
    <row r="1125">
      <c r="A1125" s="7">
        <v>1120.0</v>
      </c>
      <c r="B1125" s="7" t="s">
        <v>346</v>
      </c>
      <c r="C1125" s="7" t="str">
        <f>IFERROR(__xludf.DUMMYFUNCTION("GOOGLETRANSLATE($B1125, $A$2, $B$2)"),"12 days ago")</f>
        <v>12 days ago</v>
      </c>
      <c r="D1125" s="7" t="s">
        <v>2167</v>
      </c>
      <c r="E1125" s="7" t="s">
        <v>580</v>
      </c>
      <c r="F1125" s="7" t="s">
        <v>2117</v>
      </c>
      <c r="G1125" s="7" t="s">
        <v>260</v>
      </c>
      <c r="H1125" s="7" t="s">
        <v>261</v>
      </c>
      <c r="I1125" s="7" t="s">
        <v>261</v>
      </c>
      <c r="J1125" s="7" t="str">
        <f>IFERROR(__xludf.DUMMYFUNCTION("GOOGLETRANSLATE($I1125, ""de"", ""en"")"),"NO SALARY DATA")</f>
        <v>NO SALARY DATA</v>
      </c>
      <c r="K1125" s="7" t="s">
        <v>261</v>
      </c>
      <c r="L1125" s="7"/>
      <c r="M1125" s="7" t="s">
        <v>263</v>
      </c>
      <c r="N1125" s="7" t="s">
        <v>260</v>
      </c>
      <c r="O1125" s="7"/>
      <c r="P1125" s="37"/>
      <c r="Q1125" s="7"/>
    </row>
    <row r="1126">
      <c r="A1126" s="7">
        <v>1121.0</v>
      </c>
      <c r="B1126" s="7" t="s">
        <v>371</v>
      </c>
      <c r="C1126" s="7" t="str">
        <f>IFERROR(__xludf.DUMMYFUNCTION("GOOGLETRANSLATE($B1126, $A$2, $B$2)"),"Straight")</f>
        <v>Straight</v>
      </c>
      <c r="D1126" s="7" t="s">
        <v>2166</v>
      </c>
      <c r="E1126" s="7" t="s">
        <v>2163</v>
      </c>
      <c r="F1126" s="7" t="s">
        <v>2164</v>
      </c>
      <c r="G1126" s="7" t="s">
        <v>260</v>
      </c>
      <c r="H1126" s="7" t="s">
        <v>261</v>
      </c>
      <c r="I1126" s="7" t="s">
        <v>261</v>
      </c>
      <c r="J1126" s="7" t="str">
        <f>IFERROR(__xludf.DUMMYFUNCTION("GOOGLETRANSLATE($I1126, ""de"", ""en"")"),"NO SALARY DATA")</f>
        <v>NO SALARY DATA</v>
      </c>
      <c r="K1126" s="7" t="s">
        <v>261</v>
      </c>
      <c r="L1126" s="7"/>
      <c r="M1126" s="7" t="s">
        <v>673</v>
      </c>
      <c r="N1126" s="7" t="s">
        <v>260</v>
      </c>
      <c r="O1126" s="7"/>
      <c r="P1126" s="37"/>
      <c r="Q1126" s="7"/>
    </row>
    <row r="1127">
      <c r="A1127" s="7">
        <v>1122.0</v>
      </c>
      <c r="B1127" s="7" t="s">
        <v>621</v>
      </c>
      <c r="C1127" s="7" t="str">
        <f>IFERROR(__xludf.DUMMYFUNCTION("GOOGLETRANSLATE($B1127, $A$2, $B$2)"),"20 days ago")</f>
        <v>20 days ago</v>
      </c>
      <c r="D1127" s="7" t="s">
        <v>2168</v>
      </c>
      <c r="E1127" s="7" t="s">
        <v>2169</v>
      </c>
      <c r="F1127" s="7" t="s">
        <v>2170</v>
      </c>
      <c r="G1127" s="7" t="s">
        <v>260</v>
      </c>
      <c r="H1127" s="7" t="s">
        <v>261</v>
      </c>
      <c r="I1127" s="7" t="s">
        <v>261</v>
      </c>
      <c r="J1127" s="7" t="str">
        <f>IFERROR(__xludf.DUMMYFUNCTION("GOOGLETRANSLATE($I1127, ""de"", ""en"")"),"NO SALARY DATA")</f>
        <v>NO SALARY DATA</v>
      </c>
      <c r="K1127" s="7" t="s">
        <v>261</v>
      </c>
      <c r="L1127" s="7" t="s">
        <v>455</v>
      </c>
      <c r="M1127" s="7" t="s">
        <v>263</v>
      </c>
      <c r="N1127" s="7" t="s">
        <v>260</v>
      </c>
      <c r="O1127" s="7"/>
      <c r="P1127" s="37"/>
      <c r="Q1127" s="7"/>
    </row>
    <row r="1128">
      <c r="A1128" s="7">
        <v>1123.0</v>
      </c>
      <c r="B1128" s="7" t="s">
        <v>371</v>
      </c>
      <c r="C1128" s="7" t="str">
        <f>IFERROR(__xludf.DUMMYFUNCTION("GOOGLETRANSLATE($B1128, $A$2, $B$2)"),"Straight")</f>
        <v>Straight</v>
      </c>
      <c r="D1128" s="7" t="s">
        <v>2075</v>
      </c>
      <c r="E1128" s="7" t="s">
        <v>2076</v>
      </c>
      <c r="F1128" s="7" t="s">
        <v>2077</v>
      </c>
      <c r="G1128" s="7" t="s">
        <v>260</v>
      </c>
      <c r="H1128" s="7" t="s">
        <v>261</v>
      </c>
      <c r="I1128" s="7" t="s">
        <v>261</v>
      </c>
      <c r="J1128" s="7" t="str">
        <f>IFERROR(__xludf.DUMMYFUNCTION("GOOGLETRANSLATE($I1128, ""de"", ""en"")"),"NO SALARY DATA")</f>
        <v>NO SALARY DATA</v>
      </c>
      <c r="K1128" s="7" t="s">
        <v>261</v>
      </c>
      <c r="L1128" s="7" t="s">
        <v>666</v>
      </c>
      <c r="M1128" s="7" t="s">
        <v>274</v>
      </c>
      <c r="N1128" s="7" t="s">
        <v>260</v>
      </c>
      <c r="O1128" s="7"/>
      <c r="P1128" s="37"/>
      <c r="Q1128" s="7"/>
    </row>
    <row r="1129">
      <c r="A1129" s="7">
        <v>1124.0</v>
      </c>
      <c r="B1129" s="7" t="s">
        <v>371</v>
      </c>
      <c r="C1129" s="7" t="str">
        <f>IFERROR(__xludf.DUMMYFUNCTION("GOOGLETRANSLATE($B1129, $A$2, $B$2)"),"Straight")</f>
        <v>Straight</v>
      </c>
      <c r="D1129" s="7" t="s">
        <v>2120</v>
      </c>
      <c r="E1129" s="7" t="s">
        <v>348</v>
      </c>
      <c r="F1129" s="7" t="s">
        <v>2121</v>
      </c>
      <c r="G1129" s="7" t="s">
        <v>870</v>
      </c>
      <c r="H1129" s="7">
        <v>60000.0</v>
      </c>
      <c r="I1129" s="7" t="s">
        <v>384</v>
      </c>
      <c r="J1129" s="7" t="str">
        <f>IFERROR(__xludf.DUMMYFUNCTION("GOOGLETRANSLATE($I1129, ""de"", ""en"")"),"year")</f>
        <v>year</v>
      </c>
      <c r="K1129" s="7">
        <v>60000.0</v>
      </c>
      <c r="L1129" s="7" t="s">
        <v>345</v>
      </c>
      <c r="M1129" s="7" t="s">
        <v>263</v>
      </c>
      <c r="N1129" s="7" t="s">
        <v>260</v>
      </c>
      <c r="O1129" s="7"/>
      <c r="P1129" s="35"/>
      <c r="Q1129" s="7"/>
    </row>
    <row r="1130">
      <c r="A1130" s="7">
        <v>1125.0</v>
      </c>
      <c r="B1130" s="7" t="s">
        <v>341</v>
      </c>
      <c r="C1130" s="7" t="str">
        <f>IFERROR(__xludf.DUMMYFUNCTION("GOOGLETRANSLATE($B1130, $A$2, $B$2)"),"before 14 days")</f>
        <v>before 14 days</v>
      </c>
      <c r="D1130" s="7" t="s">
        <v>2030</v>
      </c>
      <c r="E1130" s="7" t="s">
        <v>539</v>
      </c>
      <c r="F1130" s="7" t="s">
        <v>2031</v>
      </c>
      <c r="G1130" s="7" t="s">
        <v>260</v>
      </c>
      <c r="H1130" s="7" t="s">
        <v>261</v>
      </c>
      <c r="I1130" s="7" t="s">
        <v>261</v>
      </c>
      <c r="J1130" s="7" t="str">
        <f>IFERROR(__xludf.DUMMYFUNCTION("GOOGLETRANSLATE($I1130, ""de"", ""en"")"),"NO SALARY DATA")</f>
        <v>NO SALARY DATA</v>
      </c>
      <c r="K1130" s="7" t="s">
        <v>261</v>
      </c>
      <c r="L1130" s="7" t="s">
        <v>2032</v>
      </c>
      <c r="M1130" s="7" t="s">
        <v>263</v>
      </c>
      <c r="N1130" s="7" t="s">
        <v>336</v>
      </c>
      <c r="O1130" s="7"/>
      <c r="P1130" s="37"/>
      <c r="Q1130" s="7"/>
    </row>
    <row r="1131">
      <c r="A1131" s="7">
        <v>1126.0</v>
      </c>
      <c r="B1131" s="7" t="s">
        <v>302</v>
      </c>
      <c r="C1131" s="7" t="str">
        <f>IFERROR(__xludf.DUMMYFUNCTION("GOOGLETRANSLATE($B1131, $A$2, $B$2)"),"today")</f>
        <v>today</v>
      </c>
      <c r="D1131" s="7" t="s">
        <v>2120</v>
      </c>
      <c r="E1131" s="7" t="s">
        <v>348</v>
      </c>
      <c r="F1131" s="7" t="s">
        <v>2121</v>
      </c>
      <c r="G1131" s="7" t="s">
        <v>870</v>
      </c>
      <c r="H1131" s="7">
        <v>60000.0</v>
      </c>
      <c r="I1131" s="7" t="s">
        <v>384</v>
      </c>
      <c r="J1131" s="7" t="str">
        <f>IFERROR(__xludf.DUMMYFUNCTION("GOOGLETRANSLATE($I1131, ""de"", ""en"")"),"year")</f>
        <v>year</v>
      </c>
      <c r="K1131" s="7">
        <v>60000.0</v>
      </c>
      <c r="L1131" s="7" t="s">
        <v>345</v>
      </c>
      <c r="M1131" s="7" t="s">
        <v>263</v>
      </c>
      <c r="N1131" s="7" t="s">
        <v>260</v>
      </c>
      <c r="O1131" s="7"/>
      <c r="P1131" s="35"/>
      <c r="Q1131" s="7"/>
    </row>
    <row r="1132">
      <c r="A1132" s="7">
        <v>1127.0</v>
      </c>
      <c r="B1132" s="7" t="s">
        <v>288</v>
      </c>
      <c r="C1132" s="7" t="str">
        <f>IFERROR(__xludf.DUMMYFUNCTION("GOOGLETRANSLATE($B1132, $A$2, $B$2)"),"2 days ago")</f>
        <v>2 days ago</v>
      </c>
      <c r="D1132" s="7" t="s">
        <v>1965</v>
      </c>
      <c r="E1132" s="7" t="s">
        <v>408</v>
      </c>
      <c r="F1132" s="7" t="s">
        <v>1966</v>
      </c>
      <c r="G1132" s="7" t="s">
        <v>260</v>
      </c>
      <c r="H1132" s="7" t="s">
        <v>261</v>
      </c>
      <c r="I1132" s="7" t="s">
        <v>261</v>
      </c>
      <c r="J1132" s="7" t="str">
        <f>IFERROR(__xludf.DUMMYFUNCTION("GOOGLETRANSLATE($I1132, ""de"", ""en"")"),"NO SALARY DATA")</f>
        <v>NO SALARY DATA</v>
      </c>
      <c r="K1132" s="7" t="s">
        <v>261</v>
      </c>
      <c r="L1132" s="7" t="s">
        <v>1741</v>
      </c>
      <c r="M1132" s="7" t="s">
        <v>263</v>
      </c>
      <c r="N1132" s="7" t="s">
        <v>275</v>
      </c>
      <c r="O1132" s="7"/>
      <c r="P1132" s="37"/>
      <c r="Q1132" s="7"/>
    </row>
    <row r="1133">
      <c r="A1133" s="7">
        <v>1128.0</v>
      </c>
      <c r="B1133" s="7" t="s">
        <v>288</v>
      </c>
      <c r="C1133" s="7" t="str">
        <f>IFERROR(__xludf.DUMMYFUNCTION("GOOGLETRANSLATE($B1133, $A$2, $B$2)"),"2 days ago")</f>
        <v>2 days ago</v>
      </c>
      <c r="D1133" s="7" t="s">
        <v>2055</v>
      </c>
      <c r="E1133" s="7" t="s">
        <v>2103</v>
      </c>
      <c r="F1133" s="7" t="s">
        <v>2056</v>
      </c>
      <c r="G1133" s="7" t="s">
        <v>260</v>
      </c>
      <c r="H1133" s="7" t="s">
        <v>261</v>
      </c>
      <c r="I1133" s="7" t="s">
        <v>261</v>
      </c>
      <c r="J1133" s="7" t="str">
        <f>IFERROR(__xludf.DUMMYFUNCTION("GOOGLETRANSLATE($I1133, ""de"", ""en"")"),"NO SALARY DATA")</f>
        <v>NO SALARY DATA</v>
      </c>
      <c r="K1133" s="7" t="s">
        <v>261</v>
      </c>
      <c r="L1133" s="7"/>
      <c r="M1133" s="7" t="s">
        <v>263</v>
      </c>
      <c r="N1133" s="7" t="s">
        <v>260</v>
      </c>
      <c r="O1133" s="7"/>
      <c r="P1133" s="37"/>
      <c r="Q1133" s="7"/>
    </row>
    <row r="1134">
      <c r="A1134" s="7">
        <v>1129.0</v>
      </c>
      <c r="B1134" s="7" t="s">
        <v>302</v>
      </c>
      <c r="C1134" s="7" t="str">
        <f>IFERROR(__xludf.DUMMYFUNCTION("GOOGLETRANSLATE($B1134, $A$2, $B$2)"),"today")</f>
        <v>today</v>
      </c>
      <c r="D1134" s="7" t="s">
        <v>2120</v>
      </c>
      <c r="E1134" s="7" t="s">
        <v>348</v>
      </c>
      <c r="F1134" s="7" t="s">
        <v>2121</v>
      </c>
      <c r="G1134" s="7" t="s">
        <v>870</v>
      </c>
      <c r="H1134" s="7">
        <v>60000.0</v>
      </c>
      <c r="I1134" s="7" t="s">
        <v>384</v>
      </c>
      <c r="J1134" s="7" t="str">
        <f>IFERROR(__xludf.DUMMYFUNCTION("GOOGLETRANSLATE($I1134, ""de"", ""en"")"),"year")</f>
        <v>year</v>
      </c>
      <c r="K1134" s="7">
        <v>60000.0</v>
      </c>
      <c r="L1134" s="7" t="s">
        <v>345</v>
      </c>
      <c r="M1134" s="7" t="s">
        <v>263</v>
      </c>
      <c r="N1134" s="7" t="s">
        <v>260</v>
      </c>
      <c r="O1134" s="7"/>
      <c r="P1134" s="35"/>
      <c r="Q1134" s="7"/>
    </row>
    <row r="1135">
      <c r="A1135" s="7">
        <v>1130.0</v>
      </c>
      <c r="B1135" s="7" t="s">
        <v>346</v>
      </c>
      <c r="C1135" s="7" t="str">
        <f>IFERROR(__xludf.DUMMYFUNCTION("GOOGLETRANSLATE($B1135, $A$2, $B$2)"),"12 days ago")</f>
        <v>12 days ago</v>
      </c>
      <c r="D1135" s="7" t="s">
        <v>700</v>
      </c>
      <c r="E1135" s="7" t="s">
        <v>539</v>
      </c>
      <c r="F1135" s="7" t="s">
        <v>1977</v>
      </c>
      <c r="G1135" s="7" t="s">
        <v>260</v>
      </c>
      <c r="H1135" s="7" t="s">
        <v>261</v>
      </c>
      <c r="I1135" s="7" t="s">
        <v>261</v>
      </c>
      <c r="J1135" s="7" t="str">
        <f>IFERROR(__xludf.DUMMYFUNCTION("GOOGLETRANSLATE($I1135, ""de"", ""en"")"),"NO SALARY DATA")</f>
        <v>NO SALARY DATA</v>
      </c>
      <c r="K1135" s="7" t="s">
        <v>261</v>
      </c>
      <c r="L1135" s="7" t="s">
        <v>312</v>
      </c>
      <c r="M1135" s="7" t="s">
        <v>263</v>
      </c>
      <c r="N1135" s="7" t="s">
        <v>331</v>
      </c>
      <c r="O1135" s="7"/>
      <c r="P1135" s="37"/>
      <c r="Q1135" s="7"/>
    </row>
    <row r="1136">
      <c r="A1136" s="7">
        <v>1131.0</v>
      </c>
      <c r="B1136" s="7" t="s">
        <v>375</v>
      </c>
      <c r="C1136" s="7" t="str">
        <f>IFERROR(__xludf.DUMMYFUNCTION("GOOGLETRANSLATE($B1136, $A$2, $B$2)"),"6 days ago")</f>
        <v>6 days ago</v>
      </c>
      <c r="D1136" s="7" t="s">
        <v>1978</v>
      </c>
      <c r="E1136" s="7" t="s">
        <v>1979</v>
      </c>
      <c r="F1136" s="7" t="s">
        <v>1980</v>
      </c>
      <c r="G1136" s="7" t="s">
        <v>260</v>
      </c>
      <c r="H1136" s="7" t="s">
        <v>261</v>
      </c>
      <c r="I1136" s="7" t="s">
        <v>261</v>
      </c>
      <c r="J1136" s="7" t="str">
        <f>IFERROR(__xludf.DUMMYFUNCTION("GOOGLETRANSLATE($I1136, ""de"", ""en"")"),"NO SALARY DATA")</f>
        <v>NO SALARY DATA</v>
      </c>
      <c r="K1136" s="7" t="s">
        <v>261</v>
      </c>
      <c r="L1136" s="7" t="s">
        <v>423</v>
      </c>
      <c r="M1136" s="7" t="s">
        <v>263</v>
      </c>
      <c r="N1136" s="7" t="s">
        <v>260</v>
      </c>
      <c r="O1136" s="7"/>
      <c r="P1136" s="35"/>
      <c r="Q1136" s="7"/>
    </row>
    <row r="1137">
      <c r="A1137" s="7">
        <v>1132.0</v>
      </c>
      <c r="B1137" s="7" t="s">
        <v>379</v>
      </c>
      <c r="C1137" s="7" t="str">
        <f>IFERROR(__xludf.DUMMYFUNCTION("GOOGLETRANSLATE($B1137, $A$2, $B$2)"),"13 days ago")</f>
        <v>13 days ago</v>
      </c>
      <c r="D1137" s="7" t="s">
        <v>700</v>
      </c>
      <c r="E1137" s="7" t="s">
        <v>539</v>
      </c>
      <c r="F1137" s="7" t="s">
        <v>1977</v>
      </c>
      <c r="G1137" s="7" t="s">
        <v>260</v>
      </c>
      <c r="H1137" s="7" t="s">
        <v>261</v>
      </c>
      <c r="I1137" s="7" t="s">
        <v>261</v>
      </c>
      <c r="J1137" s="7" t="str">
        <f>IFERROR(__xludf.DUMMYFUNCTION("GOOGLETRANSLATE($I1137, ""de"", ""en"")"),"NO SALARY DATA")</f>
        <v>NO SALARY DATA</v>
      </c>
      <c r="K1137" s="7" t="s">
        <v>261</v>
      </c>
      <c r="L1137" s="7" t="s">
        <v>312</v>
      </c>
      <c r="M1137" s="7" t="s">
        <v>263</v>
      </c>
      <c r="N1137" s="7" t="s">
        <v>331</v>
      </c>
      <c r="O1137" s="7"/>
      <c r="P1137" s="37"/>
      <c r="Q1137" s="7"/>
    </row>
    <row r="1138">
      <c r="A1138" s="7">
        <v>1133.0</v>
      </c>
      <c r="B1138" s="7" t="s">
        <v>637</v>
      </c>
      <c r="C1138" s="7" t="str">
        <f>IFERROR(__xludf.DUMMYFUNCTION("GOOGLETRANSLATE($B1138, $A$2, $B$2)"),"17 days ago")</f>
        <v>17 days ago</v>
      </c>
      <c r="D1138" s="7" t="s">
        <v>2061</v>
      </c>
      <c r="E1138" s="7" t="s">
        <v>258</v>
      </c>
      <c r="F1138" s="7" t="s">
        <v>2062</v>
      </c>
      <c r="G1138" s="7" t="s">
        <v>2063</v>
      </c>
      <c r="H1138" s="7">
        <v>80000.0</v>
      </c>
      <c r="I1138" s="7" t="s">
        <v>384</v>
      </c>
      <c r="J1138" s="7" t="str">
        <f>IFERROR(__xludf.DUMMYFUNCTION("GOOGLETRANSLATE($I1138, ""de"", ""en"")"),"year")</f>
        <v>year</v>
      </c>
      <c r="K1138" s="7">
        <v>80000.0</v>
      </c>
      <c r="L1138" s="7" t="s">
        <v>321</v>
      </c>
      <c r="M1138" s="7" t="s">
        <v>263</v>
      </c>
      <c r="N1138" s="7" t="s">
        <v>260</v>
      </c>
      <c r="O1138" s="7"/>
      <c r="P1138" s="35"/>
      <c r="Q1138" s="7"/>
    </row>
    <row r="1139">
      <c r="A1139" s="7">
        <v>1134.0</v>
      </c>
      <c r="B1139" s="7" t="s">
        <v>379</v>
      </c>
      <c r="C1139" s="7" t="str">
        <f>IFERROR(__xludf.DUMMYFUNCTION("GOOGLETRANSLATE($B1139, $A$2, $B$2)"),"13 days ago")</f>
        <v>13 days ago</v>
      </c>
      <c r="D1139" s="7" t="s">
        <v>700</v>
      </c>
      <c r="E1139" s="7" t="s">
        <v>539</v>
      </c>
      <c r="F1139" s="7" t="s">
        <v>1977</v>
      </c>
      <c r="G1139" s="7" t="s">
        <v>260</v>
      </c>
      <c r="H1139" s="7" t="s">
        <v>261</v>
      </c>
      <c r="I1139" s="7" t="s">
        <v>261</v>
      </c>
      <c r="J1139" s="7" t="str">
        <f>IFERROR(__xludf.DUMMYFUNCTION("GOOGLETRANSLATE($I1139, ""de"", ""en"")"),"NO SALARY DATA")</f>
        <v>NO SALARY DATA</v>
      </c>
      <c r="K1139" s="7" t="s">
        <v>261</v>
      </c>
      <c r="L1139" s="7" t="s">
        <v>312</v>
      </c>
      <c r="M1139" s="7" t="s">
        <v>263</v>
      </c>
      <c r="N1139" s="7" t="s">
        <v>331</v>
      </c>
      <c r="O1139" s="7"/>
      <c r="P1139" s="35"/>
      <c r="Q1139" s="7"/>
    </row>
    <row r="1140">
      <c r="A1140" s="7">
        <v>1135.0</v>
      </c>
      <c r="B1140" s="7" t="s">
        <v>265</v>
      </c>
      <c r="C1140" s="7" t="str">
        <f>IFERROR(__xludf.DUMMYFUNCTION("GOOGLETRANSLATE($B1140, $A$2, $B$2)"),"More than 30 days ago")</f>
        <v>More than 30 days ago</v>
      </c>
      <c r="D1140" s="7" t="s">
        <v>2001</v>
      </c>
      <c r="E1140" s="7" t="s">
        <v>343</v>
      </c>
      <c r="F1140" s="7" t="s">
        <v>506</v>
      </c>
      <c r="G1140" s="7" t="s">
        <v>260</v>
      </c>
      <c r="H1140" s="7" t="s">
        <v>261</v>
      </c>
      <c r="I1140" s="7" t="s">
        <v>261</v>
      </c>
      <c r="J1140" s="7" t="str">
        <f>IFERROR(__xludf.DUMMYFUNCTION("GOOGLETRANSLATE($I1140, ""de"", ""en"")"),"NO SALARY DATA")</f>
        <v>NO SALARY DATA</v>
      </c>
      <c r="K1140" s="7" t="s">
        <v>261</v>
      </c>
      <c r="L1140" s="7" t="s">
        <v>643</v>
      </c>
      <c r="M1140" s="7" t="s">
        <v>263</v>
      </c>
      <c r="N1140" s="7" t="s">
        <v>507</v>
      </c>
      <c r="O1140" s="7"/>
      <c r="P1140" s="35"/>
      <c r="Q1140" s="7"/>
    </row>
    <row r="1141">
      <c r="A1141" s="7">
        <v>1136.0</v>
      </c>
      <c r="B1141" s="7" t="s">
        <v>265</v>
      </c>
      <c r="C1141" s="7" t="str">
        <f>IFERROR(__xludf.DUMMYFUNCTION("GOOGLETRANSLATE($B1141, $A$2, $B$2)"),"More than 30 days ago")</f>
        <v>More than 30 days ago</v>
      </c>
      <c r="D1141" s="7" t="s">
        <v>2171</v>
      </c>
      <c r="E1141" s="7" t="s">
        <v>480</v>
      </c>
      <c r="F1141" s="7" t="s">
        <v>2172</v>
      </c>
      <c r="G1141" s="7" t="s">
        <v>260</v>
      </c>
      <c r="H1141" s="7" t="s">
        <v>261</v>
      </c>
      <c r="I1141" s="7" t="s">
        <v>261</v>
      </c>
      <c r="J1141" s="7" t="str">
        <f>IFERROR(__xludf.DUMMYFUNCTION("GOOGLETRANSLATE($I1141, ""de"", ""en"")"),"NO SALARY DATA")</f>
        <v>NO SALARY DATA</v>
      </c>
      <c r="K1141" s="7" t="s">
        <v>261</v>
      </c>
      <c r="L1141" s="7"/>
      <c r="M1141" s="7" t="s">
        <v>263</v>
      </c>
      <c r="N1141" s="7" t="s">
        <v>301</v>
      </c>
      <c r="O1141" s="7"/>
      <c r="P1141" s="37"/>
      <c r="Q1141" s="7"/>
    </row>
    <row r="1142">
      <c r="A1142" s="7">
        <v>1137.0</v>
      </c>
      <c r="B1142" s="7" t="s">
        <v>371</v>
      </c>
      <c r="C1142" s="7" t="str">
        <f>IFERROR(__xludf.DUMMYFUNCTION("GOOGLETRANSLATE($B1142, $A$2, $B$2)"),"Straight")</f>
        <v>Straight</v>
      </c>
      <c r="D1142" s="7" t="s">
        <v>2075</v>
      </c>
      <c r="E1142" s="7" t="s">
        <v>2076</v>
      </c>
      <c r="F1142" s="7" t="s">
        <v>2077</v>
      </c>
      <c r="G1142" s="7" t="s">
        <v>260</v>
      </c>
      <c r="H1142" s="7" t="s">
        <v>261</v>
      </c>
      <c r="I1142" s="7" t="s">
        <v>261</v>
      </c>
      <c r="J1142" s="7" t="str">
        <f>IFERROR(__xludf.DUMMYFUNCTION("GOOGLETRANSLATE($I1142, ""de"", ""en"")"),"NO SALARY DATA")</f>
        <v>NO SALARY DATA</v>
      </c>
      <c r="K1142" s="7" t="s">
        <v>261</v>
      </c>
      <c r="L1142" s="7" t="s">
        <v>666</v>
      </c>
      <c r="M1142" s="7" t="s">
        <v>274</v>
      </c>
      <c r="N1142" s="7" t="s">
        <v>260</v>
      </c>
      <c r="O1142" s="7"/>
      <c r="P1142" s="35"/>
      <c r="Q1142" s="7"/>
    </row>
    <row r="1143">
      <c r="A1143" s="7">
        <v>1138.0</v>
      </c>
      <c r="B1143" s="7" t="s">
        <v>332</v>
      </c>
      <c r="C1143" s="7" t="str">
        <f>IFERROR(__xludf.DUMMYFUNCTION("GOOGLETRANSLATE($B1143, $A$2, $B$2)"),"4 days ago")</f>
        <v>4 days ago</v>
      </c>
      <c r="D1143" s="7" t="s">
        <v>2173</v>
      </c>
      <c r="E1143" s="7" t="s">
        <v>271</v>
      </c>
      <c r="F1143" s="7" t="s">
        <v>2082</v>
      </c>
      <c r="G1143" s="7" t="s">
        <v>260</v>
      </c>
      <c r="H1143" s="7" t="s">
        <v>261</v>
      </c>
      <c r="I1143" s="7" t="s">
        <v>261</v>
      </c>
      <c r="J1143" s="7" t="str">
        <f>IFERROR(__xludf.DUMMYFUNCTION("GOOGLETRANSLATE($I1143, ""de"", ""en"")"),"NO SALARY DATA")</f>
        <v>NO SALARY DATA</v>
      </c>
      <c r="K1143" s="7" t="s">
        <v>261</v>
      </c>
      <c r="L1143" s="7" t="s">
        <v>777</v>
      </c>
      <c r="M1143" s="7" t="s">
        <v>263</v>
      </c>
      <c r="N1143" s="7" t="s">
        <v>331</v>
      </c>
      <c r="O1143" s="7"/>
      <c r="P1143" s="35"/>
      <c r="Q1143" s="7"/>
    </row>
    <row r="1144">
      <c r="A1144" s="7">
        <v>1139.0</v>
      </c>
      <c r="B1144" s="7" t="s">
        <v>265</v>
      </c>
      <c r="C1144" s="7" t="str">
        <f>IFERROR(__xludf.DUMMYFUNCTION("GOOGLETRANSLATE($B1144, $A$2, $B$2)"),"More than 30 days ago")</f>
        <v>More than 30 days ago</v>
      </c>
      <c r="D1144" s="7" t="s">
        <v>1995</v>
      </c>
      <c r="E1144" s="7" t="s">
        <v>405</v>
      </c>
      <c r="F1144" s="7" t="s">
        <v>1867</v>
      </c>
      <c r="G1144" s="7" t="s">
        <v>260</v>
      </c>
      <c r="H1144" s="7" t="s">
        <v>261</v>
      </c>
      <c r="I1144" s="7" t="s">
        <v>261</v>
      </c>
      <c r="J1144" s="7" t="str">
        <f>IFERROR(__xludf.DUMMYFUNCTION("GOOGLETRANSLATE($I1144, ""de"", ""en"")"),"NO SALARY DATA")</f>
        <v>NO SALARY DATA</v>
      </c>
      <c r="K1144" s="7" t="s">
        <v>261</v>
      </c>
      <c r="L1144" s="7" t="s">
        <v>410</v>
      </c>
      <c r="M1144" s="7" t="s">
        <v>263</v>
      </c>
      <c r="N1144" s="7" t="s">
        <v>323</v>
      </c>
      <c r="O1144" s="7"/>
      <c r="P1144" s="37"/>
      <c r="Q1144" s="7"/>
    </row>
    <row r="1145">
      <c r="A1145" s="7">
        <v>1140.0</v>
      </c>
      <c r="B1145" s="7" t="s">
        <v>288</v>
      </c>
      <c r="C1145" s="7" t="str">
        <f>IFERROR(__xludf.DUMMYFUNCTION("GOOGLETRANSLATE($B1145, $A$2, $B$2)"),"2 days ago")</f>
        <v>2 days ago</v>
      </c>
      <c r="D1145" s="7" t="s">
        <v>2055</v>
      </c>
      <c r="E1145" s="7" t="s">
        <v>735</v>
      </c>
      <c r="F1145" s="7" t="s">
        <v>2056</v>
      </c>
      <c r="G1145" s="7" t="s">
        <v>260</v>
      </c>
      <c r="H1145" s="7" t="s">
        <v>261</v>
      </c>
      <c r="I1145" s="7" t="s">
        <v>261</v>
      </c>
      <c r="J1145" s="7" t="str">
        <f>IFERROR(__xludf.DUMMYFUNCTION("GOOGLETRANSLATE($I1145, ""de"", ""en"")"),"NO SALARY DATA")</f>
        <v>NO SALARY DATA</v>
      </c>
      <c r="K1145" s="7" t="s">
        <v>261</v>
      </c>
      <c r="L1145" s="7"/>
      <c r="M1145" s="7" t="s">
        <v>263</v>
      </c>
      <c r="N1145" s="7" t="s">
        <v>260</v>
      </c>
      <c r="O1145" s="7"/>
      <c r="P1145" s="37"/>
      <c r="Q1145" s="7"/>
    </row>
    <row r="1146">
      <c r="A1146" s="7">
        <v>1141.0</v>
      </c>
      <c r="B1146" s="7" t="s">
        <v>392</v>
      </c>
      <c r="C1146" s="7" t="str">
        <f>IFERROR(__xludf.DUMMYFUNCTION("GOOGLETRANSLATE($B1146, $A$2, $B$2)"),"10 days ago")</f>
        <v>10 days ago</v>
      </c>
      <c r="D1146" s="7" t="s">
        <v>2007</v>
      </c>
      <c r="E1146" s="7" t="s">
        <v>408</v>
      </c>
      <c r="F1146" s="7" t="s">
        <v>1711</v>
      </c>
      <c r="G1146" s="7" t="s">
        <v>260</v>
      </c>
      <c r="H1146" s="7" t="s">
        <v>261</v>
      </c>
      <c r="I1146" s="7" t="s">
        <v>261</v>
      </c>
      <c r="J1146" s="7" t="str">
        <f>IFERROR(__xludf.DUMMYFUNCTION("GOOGLETRANSLATE($I1146, ""de"", ""en"")"),"NO SALARY DATA")</f>
        <v>NO SALARY DATA</v>
      </c>
      <c r="K1146" s="7" t="s">
        <v>261</v>
      </c>
      <c r="L1146" s="7" t="s">
        <v>305</v>
      </c>
      <c r="M1146" s="7" t="s">
        <v>263</v>
      </c>
      <c r="N1146" s="7" t="s">
        <v>260</v>
      </c>
      <c r="O1146" s="7"/>
      <c r="P1146" s="37"/>
      <c r="Q1146" s="7"/>
    </row>
    <row r="1147">
      <c r="A1147" s="7">
        <v>1142.0</v>
      </c>
      <c r="B1147" s="7" t="s">
        <v>256</v>
      </c>
      <c r="C1147" s="7" t="str">
        <f>IFERROR(__xludf.DUMMYFUNCTION("GOOGLETRANSLATE($B1147, $A$2, $B$2)"),"7 days ago")</f>
        <v>7 days ago</v>
      </c>
      <c r="D1147" s="7" t="s">
        <v>2067</v>
      </c>
      <c r="E1147" s="7" t="s">
        <v>271</v>
      </c>
      <c r="F1147" s="7" t="s">
        <v>1915</v>
      </c>
      <c r="G1147" s="7" t="s">
        <v>2068</v>
      </c>
      <c r="H1147" s="7">
        <v>75000.0</v>
      </c>
      <c r="I1147" s="7" t="s">
        <v>384</v>
      </c>
      <c r="J1147" s="7" t="str">
        <f>IFERROR(__xludf.DUMMYFUNCTION("GOOGLETRANSLATE($I1147, ""de"", ""en"")"),"year")</f>
        <v>year</v>
      </c>
      <c r="K1147" s="7">
        <v>75000.0</v>
      </c>
      <c r="L1147" s="7" t="s">
        <v>423</v>
      </c>
      <c r="M1147" s="7" t="s">
        <v>452</v>
      </c>
      <c r="N1147" s="7" t="s">
        <v>260</v>
      </c>
      <c r="O1147" s="7"/>
      <c r="P1147" s="37"/>
      <c r="Q1147" s="7"/>
    </row>
    <row r="1148">
      <c r="A1148" s="7">
        <v>1143.0</v>
      </c>
      <c r="B1148" s="7" t="s">
        <v>2133</v>
      </c>
      <c r="C1148" s="7" t="str">
        <f>IFERROR(__xludf.DUMMYFUNCTION("GOOGLETRANSLATE($B1148, $A$2, $B$2)"),"15 days ago")</f>
        <v>15 days ago</v>
      </c>
      <c r="D1148" s="7" t="s">
        <v>2006</v>
      </c>
      <c r="E1148" s="7" t="s">
        <v>271</v>
      </c>
      <c r="F1148" s="7" t="s">
        <v>2000</v>
      </c>
      <c r="G1148" s="7" t="s">
        <v>260</v>
      </c>
      <c r="H1148" s="7" t="s">
        <v>261</v>
      </c>
      <c r="I1148" s="7" t="s">
        <v>261</v>
      </c>
      <c r="J1148" s="7" t="str">
        <f>IFERROR(__xludf.DUMMYFUNCTION("GOOGLETRANSLATE($I1148, ""de"", ""en"")"),"NO SALARY DATA")</f>
        <v>NO SALARY DATA</v>
      </c>
      <c r="K1148" s="7" t="s">
        <v>261</v>
      </c>
      <c r="L1148" s="7" t="s">
        <v>286</v>
      </c>
      <c r="M1148" s="7" t="s">
        <v>263</v>
      </c>
      <c r="N1148" s="7" t="s">
        <v>260</v>
      </c>
      <c r="O1148" s="7"/>
      <c r="P1148" s="37"/>
      <c r="Q1148" s="7"/>
    </row>
    <row r="1149">
      <c r="A1149" s="7">
        <v>1144.0</v>
      </c>
      <c r="B1149" s="7" t="s">
        <v>302</v>
      </c>
      <c r="C1149" s="7" t="str">
        <f>IFERROR(__xludf.DUMMYFUNCTION("GOOGLETRANSLATE($B1149, $A$2, $B$2)"),"today")</f>
        <v>today</v>
      </c>
      <c r="D1149" s="7" t="s">
        <v>2174</v>
      </c>
      <c r="E1149" s="7" t="s">
        <v>405</v>
      </c>
      <c r="F1149" s="7" t="s">
        <v>502</v>
      </c>
      <c r="G1149" s="7" t="s">
        <v>260</v>
      </c>
      <c r="H1149" s="7" t="s">
        <v>261</v>
      </c>
      <c r="I1149" s="7" t="s">
        <v>261</v>
      </c>
      <c r="J1149" s="7" t="str">
        <f>IFERROR(__xludf.DUMMYFUNCTION("GOOGLETRANSLATE($I1149, ""de"", ""en"")"),"NO SALARY DATA")</f>
        <v>NO SALARY DATA</v>
      </c>
      <c r="K1149" s="7" t="s">
        <v>261</v>
      </c>
      <c r="L1149" s="7" t="s">
        <v>1366</v>
      </c>
      <c r="M1149" s="7" t="s">
        <v>263</v>
      </c>
      <c r="N1149" s="7" t="s">
        <v>260</v>
      </c>
      <c r="O1149" s="7"/>
      <c r="P1149" s="37"/>
      <c r="Q1149" s="7"/>
    </row>
    <row r="1150">
      <c r="A1150" s="7">
        <v>1145.0</v>
      </c>
      <c r="B1150" s="7" t="s">
        <v>621</v>
      </c>
      <c r="C1150" s="7" t="str">
        <f>IFERROR(__xludf.DUMMYFUNCTION("GOOGLETRANSLATE($B1150, $A$2, $B$2)"),"20 days ago")</f>
        <v>20 days ago</v>
      </c>
      <c r="D1150" s="7" t="s">
        <v>2168</v>
      </c>
      <c r="E1150" s="7" t="s">
        <v>2169</v>
      </c>
      <c r="F1150" s="7" t="s">
        <v>2170</v>
      </c>
      <c r="G1150" s="7" t="s">
        <v>260</v>
      </c>
      <c r="H1150" s="7" t="s">
        <v>261</v>
      </c>
      <c r="I1150" s="7" t="s">
        <v>261</v>
      </c>
      <c r="J1150" s="7" t="str">
        <f>IFERROR(__xludf.DUMMYFUNCTION("GOOGLETRANSLATE($I1150, ""de"", ""en"")"),"NO SALARY DATA")</f>
        <v>NO SALARY DATA</v>
      </c>
      <c r="K1150" s="7" t="s">
        <v>261</v>
      </c>
      <c r="L1150" s="7" t="s">
        <v>455</v>
      </c>
      <c r="M1150" s="7" t="s">
        <v>263</v>
      </c>
      <c r="N1150" s="7" t="s">
        <v>260</v>
      </c>
      <c r="O1150" s="7"/>
      <c r="P1150" s="37"/>
      <c r="Q1150" s="7"/>
    </row>
    <row r="1151">
      <c r="A1151" s="7">
        <v>1146.0</v>
      </c>
      <c r="B1151" s="7" t="s">
        <v>256</v>
      </c>
      <c r="C1151" s="7" t="str">
        <f>IFERROR(__xludf.DUMMYFUNCTION("GOOGLETRANSLATE($B1151, $A$2, $B$2)"),"7 days ago")</f>
        <v>7 days ago</v>
      </c>
      <c r="D1151" s="7" t="s">
        <v>2112</v>
      </c>
      <c r="E1151" s="7" t="s">
        <v>271</v>
      </c>
      <c r="F1151" s="7" t="s">
        <v>1915</v>
      </c>
      <c r="G1151" s="7" t="s">
        <v>2068</v>
      </c>
      <c r="H1151" s="7">
        <v>75000.0</v>
      </c>
      <c r="I1151" s="7" t="s">
        <v>384</v>
      </c>
      <c r="J1151" s="7" t="str">
        <f>IFERROR(__xludf.DUMMYFUNCTION("GOOGLETRANSLATE($I1151, ""de"", ""en"")"),"year")</f>
        <v>year</v>
      </c>
      <c r="K1151" s="7">
        <v>75000.0</v>
      </c>
      <c r="L1151" s="7" t="s">
        <v>423</v>
      </c>
      <c r="M1151" s="7" t="s">
        <v>452</v>
      </c>
      <c r="N1151" s="7" t="s">
        <v>260</v>
      </c>
      <c r="O1151" s="7"/>
      <c r="P1151" s="37"/>
      <c r="Q1151" s="7"/>
    </row>
    <row r="1152">
      <c r="A1152" s="7">
        <v>1147.0</v>
      </c>
      <c r="B1152" s="7" t="s">
        <v>292</v>
      </c>
      <c r="C1152" s="7" t="str">
        <f>IFERROR(__xludf.DUMMYFUNCTION("GOOGLETRANSLATE($B1152, $A$2, $B$2)"),"1 day ago")</f>
        <v>1 day ago</v>
      </c>
      <c r="D1152" s="7" t="s">
        <v>2104</v>
      </c>
      <c r="E1152" s="7" t="s">
        <v>2105</v>
      </c>
      <c r="F1152" s="7" t="s">
        <v>2106</v>
      </c>
      <c r="G1152" s="7" t="s">
        <v>260</v>
      </c>
      <c r="H1152" s="7" t="s">
        <v>261</v>
      </c>
      <c r="I1152" s="7" t="s">
        <v>261</v>
      </c>
      <c r="J1152" s="7" t="str">
        <f>IFERROR(__xludf.DUMMYFUNCTION("GOOGLETRANSLATE($I1152, ""de"", ""en"")"),"NO SALARY DATA")</f>
        <v>NO SALARY DATA</v>
      </c>
      <c r="K1152" s="7" t="s">
        <v>261</v>
      </c>
      <c r="L1152" s="7" t="s">
        <v>423</v>
      </c>
      <c r="M1152" s="7" t="s">
        <v>263</v>
      </c>
      <c r="N1152" s="7" t="s">
        <v>260</v>
      </c>
      <c r="O1152" s="7"/>
      <c r="P1152" s="37"/>
      <c r="Q1152" s="7"/>
    </row>
    <row r="1153">
      <c r="A1153" s="7">
        <v>1148.0</v>
      </c>
      <c r="B1153" s="7" t="s">
        <v>292</v>
      </c>
      <c r="C1153" s="7" t="str">
        <f>IFERROR(__xludf.DUMMYFUNCTION("GOOGLETRANSLATE($B1153, $A$2, $B$2)"),"1 day ago")</f>
        <v>1 day ago</v>
      </c>
      <c r="D1153" s="7" t="s">
        <v>2104</v>
      </c>
      <c r="E1153" s="7" t="s">
        <v>2105</v>
      </c>
      <c r="F1153" s="7" t="s">
        <v>2106</v>
      </c>
      <c r="G1153" s="7" t="s">
        <v>260</v>
      </c>
      <c r="H1153" s="7" t="s">
        <v>261</v>
      </c>
      <c r="I1153" s="7" t="s">
        <v>261</v>
      </c>
      <c r="J1153" s="7" t="str">
        <f>IFERROR(__xludf.DUMMYFUNCTION("GOOGLETRANSLATE($I1153, ""de"", ""en"")"),"NO SALARY DATA")</f>
        <v>NO SALARY DATA</v>
      </c>
      <c r="K1153" s="7" t="s">
        <v>261</v>
      </c>
      <c r="L1153" s="7" t="s">
        <v>423</v>
      </c>
      <c r="M1153" s="7" t="s">
        <v>263</v>
      </c>
      <c r="N1153" s="7" t="s">
        <v>260</v>
      </c>
      <c r="O1153" s="7"/>
      <c r="P1153" s="37"/>
      <c r="Q1153" s="7"/>
    </row>
    <row r="1154">
      <c r="A1154" s="7">
        <v>1149.0</v>
      </c>
      <c r="B1154" s="7" t="s">
        <v>302</v>
      </c>
      <c r="C1154" s="7" t="str">
        <f>IFERROR(__xludf.DUMMYFUNCTION("GOOGLETRANSLATE($B1154, $A$2, $B$2)"),"today")</f>
        <v>today</v>
      </c>
      <c r="D1154" s="7" t="s">
        <v>2059</v>
      </c>
      <c r="E1154" s="7" t="s">
        <v>348</v>
      </c>
      <c r="F1154" s="7" t="s">
        <v>2060</v>
      </c>
      <c r="G1154" s="7" t="s">
        <v>260</v>
      </c>
      <c r="H1154" s="7" t="s">
        <v>261</v>
      </c>
      <c r="I1154" s="7" t="s">
        <v>261</v>
      </c>
      <c r="J1154" s="7" t="str">
        <f>IFERROR(__xludf.DUMMYFUNCTION("GOOGLETRANSLATE($I1154, ""de"", ""en"")"),"NO SALARY DATA")</f>
        <v>NO SALARY DATA</v>
      </c>
      <c r="K1154" s="7" t="s">
        <v>261</v>
      </c>
      <c r="L1154" s="7"/>
      <c r="M1154" s="7" t="s">
        <v>263</v>
      </c>
      <c r="N1154" s="7" t="s">
        <v>260</v>
      </c>
      <c r="O1154" s="7"/>
      <c r="P1154" s="35"/>
      <c r="Q1154" s="7"/>
    </row>
    <row r="1155">
      <c r="A1155" s="7">
        <v>1150.0</v>
      </c>
      <c r="B1155" s="7" t="s">
        <v>332</v>
      </c>
      <c r="C1155" s="7" t="str">
        <f>IFERROR(__xludf.DUMMYFUNCTION("GOOGLETRANSLATE($B1155, $A$2, $B$2)"),"4 days ago")</f>
        <v>4 days ago</v>
      </c>
      <c r="D1155" s="7" t="s">
        <v>2081</v>
      </c>
      <c r="E1155" s="7" t="s">
        <v>271</v>
      </c>
      <c r="F1155" s="7" t="s">
        <v>2082</v>
      </c>
      <c r="G1155" s="7" t="s">
        <v>260</v>
      </c>
      <c r="H1155" s="7" t="s">
        <v>261</v>
      </c>
      <c r="I1155" s="7" t="s">
        <v>261</v>
      </c>
      <c r="J1155" s="7" t="str">
        <f>IFERROR(__xludf.DUMMYFUNCTION("GOOGLETRANSLATE($I1155, ""de"", ""en"")"),"NO SALARY DATA")</f>
        <v>NO SALARY DATA</v>
      </c>
      <c r="K1155" s="7" t="s">
        <v>261</v>
      </c>
      <c r="L1155" s="7" t="s">
        <v>777</v>
      </c>
      <c r="M1155" s="7" t="s">
        <v>263</v>
      </c>
      <c r="N1155" s="7" t="s">
        <v>331</v>
      </c>
      <c r="O1155" s="7"/>
      <c r="P1155" s="37"/>
      <c r="Q1155" s="7"/>
    </row>
    <row r="1156">
      <c r="A1156" s="7">
        <v>1151.0</v>
      </c>
      <c r="B1156" s="7" t="s">
        <v>324</v>
      </c>
      <c r="C1156" s="7" t="str">
        <f>IFERROR(__xludf.DUMMYFUNCTION("GOOGLETRANSLATE($B1156, $A$2, $B$2)"),"3 days ago")</f>
        <v>3 days ago</v>
      </c>
      <c r="D1156" s="7" t="s">
        <v>1986</v>
      </c>
      <c r="E1156" s="7" t="s">
        <v>352</v>
      </c>
      <c r="F1156" s="7" t="s">
        <v>1987</v>
      </c>
      <c r="G1156" s="7" t="s">
        <v>260</v>
      </c>
      <c r="H1156" s="7" t="s">
        <v>261</v>
      </c>
      <c r="I1156" s="7" t="s">
        <v>261</v>
      </c>
      <c r="J1156" s="7" t="str">
        <f>IFERROR(__xludf.DUMMYFUNCTION("GOOGLETRANSLATE($I1156, ""de"", ""en"")"),"NO SALARY DATA")</f>
        <v>NO SALARY DATA</v>
      </c>
      <c r="K1156" s="7" t="s">
        <v>261</v>
      </c>
      <c r="L1156" s="7" t="s">
        <v>419</v>
      </c>
      <c r="M1156" s="7" t="s">
        <v>263</v>
      </c>
      <c r="N1156" s="7" t="s">
        <v>260</v>
      </c>
      <c r="O1156" s="7"/>
      <c r="P1156" s="37"/>
      <c r="Q1156" s="7"/>
    </row>
    <row r="1157">
      <c r="A1157" s="7">
        <v>1152.0</v>
      </c>
      <c r="B1157" s="7" t="s">
        <v>379</v>
      </c>
      <c r="C1157" s="7" t="str">
        <f>IFERROR(__xludf.DUMMYFUNCTION("GOOGLETRANSLATE($B1157, $A$2, $B$2)"),"13 days ago")</f>
        <v>13 days ago</v>
      </c>
      <c r="D1157" s="7" t="s">
        <v>2008</v>
      </c>
      <c r="E1157" s="7" t="s">
        <v>258</v>
      </c>
      <c r="F1157" s="7" t="s">
        <v>2009</v>
      </c>
      <c r="G1157" s="7" t="s">
        <v>260</v>
      </c>
      <c r="H1157" s="7" t="s">
        <v>261</v>
      </c>
      <c r="I1157" s="7" t="s">
        <v>261</v>
      </c>
      <c r="J1157" s="7" t="str">
        <f>IFERROR(__xludf.DUMMYFUNCTION("GOOGLETRANSLATE($I1157, ""de"", ""en"")"),"NO SALARY DATA")</f>
        <v>NO SALARY DATA</v>
      </c>
      <c r="K1157" s="7" t="s">
        <v>261</v>
      </c>
      <c r="L1157" s="7" t="s">
        <v>282</v>
      </c>
      <c r="M1157" s="7" t="s">
        <v>673</v>
      </c>
      <c r="N1157" s="7" t="s">
        <v>260</v>
      </c>
      <c r="O1157" s="7"/>
      <c r="P1157" s="37"/>
      <c r="Q1157" s="7"/>
    </row>
    <row r="1158">
      <c r="A1158" s="7">
        <v>1153.0</v>
      </c>
      <c r="B1158" s="7" t="s">
        <v>302</v>
      </c>
      <c r="C1158" s="7" t="str">
        <f>IFERROR(__xludf.DUMMYFUNCTION("GOOGLETRANSLATE($B1158, $A$2, $B$2)"),"today")</f>
        <v>today</v>
      </c>
      <c r="D1158" s="7" t="s">
        <v>2059</v>
      </c>
      <c r="E1158" s="7" t="s">
        <v>348</v>
      </c>
      <c r="F1158" s="7" t="s">
        <v>2060</v>
      </c>
      <c r="G1158" s="7" t="s">
        <v>260</v>
      </c>
      <c r="H1158" s="7" t="s">
        <v>261</v>
      </c>
      <c r="I1158" s="7" t="s">
        <v>261</v>
      </c>
      <c r="J1158" s="7" t="str">
        <f>IFERROR(__xludf.DUMMYFUNCTION("GOOGLETRANSLATE($I1158, ""de"", ""en"")"),"NO SALARY DATA")</f>
        <v>NO SALARY DATA</v>
      </c>
      <c r="K1158" s="7" t="s">
        <v>261</v>
      </c>
      <c r="L1158" s="7"/>
      <c r="M1158" s="7" t="s">
        <v>263</v>
      </c>
      <c r="N1158" s="7" t="s">
        <v>260</v>
      </c>
      <c r="O1158" s="7"/>
      <c r="P1158" s="37"/>
      <c r="Q1158" s="7"/>
    </row>
    <row r="1159">
      <c r="A1159" s="7">
        <v>1154.0</v>
      </c>
      <c r="B1159" s="7" t="s">
        <v>302</v>
      </c>
      <c r="C1159" s="7" t="str">
        <f>IFERROR(__xludf.DUMMYFUNCTION("GOOGLETRANSLATE($B1159, $A$2, $B$2)"),"today")</f>
        <v>today</v>
      </c>
      <c r="D1159" s="7" t="s">
        <v>2035</v>
      </c>
      <c r="E1159" s="7" t="s">
        <v>348</v>
      </c>
      <c r="F1159" s="7" t="s">
        <v>1924</v>
      </c>
      <c r="G1159" s="7" t="s">
        <v>260</v>
      </c>
      <c r="H1159" s="7" t="s">
        <v>261</v>
      </c>
      <c r="I1159" s="7" t="s">
        <v>261</v>
      </c>
      <c r="J1159" s="7" t="str">
        <f>IFERROR(__xludf.DUMMYFUNCTION("GOOGLETRANSLATE($I1159, ""de"", ""en"")"),"NO SALARY DATA")</f>
        <v>NO SALARY DATA</v>
      </c>
      <c r="K1159" s="7" t="s">
        <v>261</v>
      </c>
      <c r="L1159" s="7" t="s">
        <v>777</v>
      </c>
      <c r="M1159" s="7" t="s">
        <v>673</v>
      </c>
      <c r="N1159" s="7" t="s">
        <v>260</v>
      </c>
      <c r="O1159" s="7"/>
      <c r="P1159" s="37"/>
      <c r="Q1159" s="7"/>
    </row>
    <row r="1160">
      <c r="A1160" s="7">
        <v>1155.0</v>
      </c>
      <c r="B1160" s="7" t="s">
        <v>371</v>
      </c>
      <c r="C1160" s="7" t="str">
        <f>IFERROR(__xludf.DUMMYFUNCTION("GOOGLETRANSLATE($B1160, $A$2, $B$2)"),"Straight")</f>
        <v>Straight</v>
      </c>
      <c r="D1160" s="7" t="s">
        <v>2175</v>
      </c>
      <c r="E1160" s="7" t="s">
        <v>271</v>
      </c>
      <c r="F1160" s="7" t="s">
        <v>2000</v>
      </c>
      <c r="G1160" s="7" t="s">
        <v>260</v>
      </c>
      <c r="H1160" s="7" t="s">
        <v>261</v>
      </c>
      <c r="I1160" s="7" t="s">
        <v>261</v>
      </c>
      <c r="J1160" s="7" t="str">
        <f>IFERROR(__xludf.DUMMYFUNCTION("GOOGLETRANSLATE($I1160, ""de"", ""en"")"),"NO SALARY DATA")</f>
        <v>NO SALARY DATA</v>
      </c>
      <c r="K1160" s="7" t="s">
        <v>261</v>
      </c>
      <c r="L1160" s="7"/>
      <c r="M1160" s="7" t="s">
        <v>263</v>
      </c>
      <c r="N1160" s="7" t="s">
        <v>260</v>
      </c>
      <c r="O1160" s="7"/>
      <c r="P1160" s="35"/>
      <c r="Q1160" s="7"/>
    </row>
    <row r="1161">
      <c r="A1161" s="7">
        <v>1156.0</v>
      </c>
      <c r="B1161" s="7" t="s">
        <v>395</v>
      </c>
      <c r="C1161" s="7" t="str">
        <f>IFERROR(__xludf.DUMMYFUNCTION("GOOGLETRANSLATE($B1161, $A$2, $B$2)"),"21 days ago")</f>
        <v>21 days ago</v>
      </c>
      <c r="D1161" s="7" t="s">
        <v>2096</v>
      </c>
      <c r="E1161" s="7" t="s">
        <v>2097</v>
      </c>
      <c r="F1161" s="7" t="s">
        <v>218</v>
      </c>
      <c r="G1161" s="7" t="s">
        <v>260</v>
      </c>
      <c r="H1161" s="7" t="s">
        <v>261</v>
      </c>
      <c r="I1161" s="7" t="s">
        <v>261</v>
      </c>
      <c r="J1161" s="7" t="str">
        <f>IFERROR(__xludf.DUMMYFUNCTION("GOOGLETRANSLATE($I1161, ""de"", ""en"")"),"NO SALARY DATA")</f>
        <v>NO SALARY DATA</v>
      </c>
      <c r="K1161" s="7" t="s">
        <v>261</v>
      </c>
      <c r="L1161" s="7" t="s">
        <v>2098</v>
      </c>
      <c r="M1161" s="7" t="s">
        <v>414</v>
      </c>
      <c r="N1161" s="7" t="s">
        <v>399</v>
      </c>
      <c r="O1161" s="7"/>
      <c r="P1161" s="35"/>
      <c r="Q1161" s="7"/>
    </row>
    <row r="1162">
      <c r="A1162" s="7">
        <v>1157.0</v>
      </c>
      <c r="B1162" s="7" t="s">
        <v>395</v>
      </c>
      <c r="C1162" s="7" t="str">
        <f>IFERROR(__xludf.DUMMYFUNCTION("GOOGLETRANSLATE($B1162, $A$2, $B$2)"),"21 days ago")</f>
        <v>21 days ago</v>
      </c>
      <c r="D1162" s="7" t="s">
        <v>2096</v>
      </c>
      <c r="E1162" s="7" t="s">
        <v>2097</v>
      </c>
      <c r="F1162" s="7" t="s">
        <v>218</v>
      </c>
      <c r="G1162" s="7" t="s">
        <v>260</v>
      </c>
      <c r="H1162" s="7" t="s">
        <v>261</v>
      </c>
      <c r="I1162" s="7" t="s">
        <v>261</v>
      </c>
      <c r="J1162" s="7" t="str">
        <f>IFERROR(__xludf.DUMMYFUNCTION("GOOGLETRANSLATE($I1162, ""de"", ""en"")"),"NO SALARY DATA")</f>
        <v>NO SALARY DATA</v>
      </c>
      <c r="K1162" s="7" t="s">
        <v>261</v>
      </c>
      <c r="L1162" s="7" t="s">
        <v>2098</v>
      </c>
      <c r="M1162" s="7" t="s">
        <v>414</v>
      </c>
      <c r="N1162" s="7" t="s">
        <v>399</v>
      </c>
      <c r="O1162" s="7"/>
      <c r="P1162" s="37"/>
      <c r="Q1162" s="7"/>
    </row>
    <row r="1163">
      <c r="A1163" s="7">
        <v>1158.0</v>
      </c>
      <c r="B1163" s="7" t="s">
        <v>371</v>
      </c>
      <c r="C1163" s="7" t="str">
        <f>IFERROR(__xludf.DUMMYFUNCTION("GOOGLETRANSLATE($B1163, $A$2, $B$2)"),"Straight")</f>
        <v>Straight</v>
      </c>
      <c r="D1163" s="7" t="s">
        <v>2176</v>
      </c>
      <c r="E1163" s="7" t="s">
        <v>271</v>
      </c>
      <c r="F1163" s="7" t="s">
        <v>2000</v>
      </c>
      <c r="G1163" s="7" t="s">
        <v>260</v>
      </c>
      <c r="H1163" s="7" t="s">
        <v>261</v>
      </c>
      <c r="I1163" s="7" t="s">
        <v>261</v>
      </c>
      <c r="J1163" s="7" t="str">
        <f>IFERROR(__xludf.DUMMYFUNCTION("GOOGLETRANSLATE($I1163, ""de"", ""en"")"),"NO SALARY DATA")</f>
        <v>NO SALARY DATA</v>
      </c>
      <c r="K1163" s="7" t="s">
        <v>261</v>
      </c>
      <c r="L1163" s="7" t="s">
        <v>782</v>
      </c>
      <c r="M1163" s="7" t="s">
        <v>263</v>
      </c>
      <c r="N1163" s="7" t="s">
        <v>260</v>
      </c>
      <c r="O1163" s="7"/>
      <c r="P1163" s="37"/>
      <c r="Q1163" s="7"/>
    </row>
    <row r="1164">
      <c r="A1164" s="7">
        <v>1159.0</v>
      </c>
      <c r="B1164" s="7" t="s">
        <v>395</v>
      </c>
      <c r="C1164" s="7" t="str">
        <f>IFERROR(__xludf.DUMMYFUNCTION("GOOGLETRANSLATE($B1164, $A$2, $B$2)"),"21 days ago")</f>
        <v>21 days ago</v>
      </c>
      <c r="D1164" s="7" t="s">
        <v>706</v>
      </c>
      <c r="E1164" s="7" t="s">
        <v>401</v>
      </c>
      <c r="F1164" s="7" t="s">
        <v>1099</v>
      </c>
      <c r="G1164" s="7" t="s">
        <v>260</v>
      </c>
      <c r="H1164" s="7" t="s">
        <v>261</v>
      </c>
      <c r="I1164" s="7" t="s">
        <v>261</v>
      </c>
      <c r="J1164" s="7" t="str">
        <f>IFERROR(__xludf.DUMMYFUNCTION("GOOGLETRANSLATE($I1164, ""de"", ""en"")"),"NO SALARY DATA")</f>
        <v>NO SALARY DATA</v>
      </c>
      <c r="K1164" s="7" t="s">
        <v>261</v>
      </c>
      <c r="L1164" s="7" t="s">
        <v>327</v>
      </c>
      <c r="M1164" s="7" t="s">
        <v>263</v>
      </c>
      <c r="N1164" s="7" t="s">
        <v>260</v>
      </c>
      <c r="O1164" s="7"/>
      <c r="P1164" s="37"/>
      <c r="Q1164" s="7"/>
    </row>
    <row r="1165">
      <c r="A1165" s="7">
        <v>1160.0</v>
      </c>
      <c r="B1165" s="7" t="s">
        <v>442</v>
      </c>
      <c r="C1165" s="7" t="str">
        <f>IFERROR(__xludf.DUMMYFUNCTION("GOOGLETRANSLATE($B1165, $A$2, $B$2)"),"26 days ago")</f>
        <v>26 days ago</v>
      </c>
      <c r="D1165" s="7" t="s">
        <v>2177</v>
      </c>
      <c r="E1165" s="7" t="s">
        <v>258</v>
      </c>
      <c r="F1165" s="7" t="s">
        <v>2178</v>
      </c>
      <c r="G1165" s="7" t="s">
        <v>260</v>
      </c>
      <c r="H1165" s="7" t="s">
        <v>261</v>
      </c>
      <c r="I1165" s="7" t="s">
        <v>261</v>
      </c>
      <c r="J1165" s="7" t="str">
        <f>IFERROR(__xludf.DUMMYFUNCTION("GOOGLETRANSLATE($I1165, ""de"", ""en"")"),"NO SALARY DATA")</f>
        <v>NO SALARY DATA</v>
      </c>
      <c r="K1165" s="7" t="s">
        <v>261</v>
      </c>
      <c r="L1165" s="7" t="s">
        <v>2179</v>
      </c>
      <c r="M1165" s="7" t="s">
        <v>452</v>
      </c>
      <c r="N1165" s="7" t="s">
        <v>260</v>
      </c>
      <c r="O1165" s="7"/>
      <c r="P1165" s="37"/>
      <c r="Q1165" s="7"/>
    </row>
    <row r="1166">
      <c r="A1166" s="7">
        <v>1161.0</v>
      </c>
      <c r="B1166" s="7" t="s">
        <v>371</v>
      </c>
      <c r="C1166" s="7" t="str">
        <f>IFERROR(__xludf.DUMMYFUNCTION("GOOGLETRANSLATE($B1166, $A$2, $B$2)"),"Straight")</f>
        <v>Straight</v>
      </c>
      <c r="D1166" s="7" t="s">
        <v>2064</v>
      </c>
      <c r="E1166" s="7" t="s">
        <v>2065</v>
      </c>
      <c r="F1166" s="7" t="s">
        <v>2066</v>
      </c>
      <c r="G1166" s="7" t="s">
        <v>260</v>
      </c>
      <c r="H1166" s="7" t="s">
        <v>261</v>
      </c>
      <c r="I1166" s="7" t="s">
        <v>261</v>
      </c>
      <c r="J1166" s="7" t="str">
        <f>IFERROR(__xludf.DUMMYFUNCTION("GOOGLETRANSLATE($I1166, ""de"", ""en"")"),"NO SALARY DATA")</f>
        <v>NO SALARY DATA</v>
      </c>
      <c r="K1166" s="7" t="s">
        <v>261</v>
      </c>
      <c r="L1166" s="7"/>
      <c r="M1166" s="7" t="s">
        <v>263</v>
      </c>
      <c r="N1166" s="7" t="s">
        <v>260</v>
      </c>
      <c r="O1166" s="7"/>
      <c r="P1166" s="37"/>
      <c r="Q1166" s="7"/>
    </row>
    <row r="1167">
      <c r="A1167" s="7">
        <v>1162.0</v>
      </c>
      <c r="B1167" s="7" t="s">
        <v>371</v>
      </c>
      <c r="C1167" s="7" t="str">
        <f>IFERROR(__xludf.DUMMYFUNCTION("GOOGLETRANSLATE($B1167, $A$2, $B$2)"),"Straight")</f>
        <v>Straight</v>
      </c>
      <c r="D1167" s="7" t="s">
        <v>2064</v>
      </c>
      <c r="E1167" s="7" t="s">
        <v>2065</v>
      </c>
      <c r="F1167" s="7" t="s">
        <v>2066</v>
      </c>
      <c r="G1167" s="7" t="s">
        <v>260</v>
      </c>
      <c r="H1167" s="7" t="s">
        <v>261</v>
      </c>
      <c r="I1167" s="7" t="s">
        <v>261</v>
      </c>
      <c r="J1167" s="7" t="str">
        <f>IFERROR(__xludf.DUMMYFUNCTION("GOOGLETRANSLATE($I1167, ""de"", ""en"")"),"NO SALARY DATA")</f>
        <v>NO SALARY DATA</v>
      </c>
      <c r="K1167" s="7" t="s">
        <v>261</v>
      </c>
      <c r="L1167" s="7"/>
      <c r="M1167" s="7" t="s">
        <v>263</v>
      </c>
      <c r="N1167" s="7" t="s">
        <v>260</v>
      </c>
      <c r="O1167" s="7"/>
      <c r="P1167" s="37"/>
      <c r="Q1167" s="7"/>
    </row>
    <row r="1168">
      <c r="A1168" s="7">
        <v>1163.0</v>
      </c>
      <c r="B1168" s="7" t="s">
        <v>508</v>
      </c>
      <c r="C1168" s="7" t="str">
        <f>IFERROR(__xludf.DUMMYFUNCTION("GOOGLETRANSLATE($B1168, $A$2, $B$2)"),"24 days ago")</f>
        <v>24 days ago</v>
      </c>
      <c r="D1168" s="7" t="s">
        <v>1941</v>
      </c>
      <c r="E1168" s="7" t="s">
        <v>1462</v>
      </c>
      <c r="F1168" s="7" t="s">
        <v>1942</v>
      </c>
      <c r="G1168" s="7" t="s">
        <v>260</v>
      </c>
      <c r="H1168" s="7" t="s">
        <v>261</v>
      </c>
      <c r="I1168" s="7" t="s">
        <v>261</v>
      </c>
      <c r="J1168" s="7" t="str">
        <f>IFERROR(__xludf.DUMMYFUNCTION("GOOGLETRANSLATE($I1168, ""de"", ""en"")"),"NO SALARY DATA")</f>
        <v>NO SALARY DATA</v>
      </c>
      <c r="K1168" s="7" t="s">
        <v>261</v>
      </c>
      <c r="L1168" s="7" t="s">
        <v>649</v>
      </c>
      <c r="M1168" s="7" t="s">
        <v>263</v>
      </c>
      <c r="N1168" s="7" t="s">
        <v>260</v>
      </c>
      <c r="O1168" s="7"/>
      <c r="P1168" s="37"/>
      <c r="Q1168" s="7"/>
    </row>
    <row r="1169">
      <c r="A1169" s="7">
        <v>1164.0</v>
      </c>
      <c r="B1169" s="7" t="s">
        <v>2133</v>
      </c>
      <c r="C1169" s="7" t="str">
        <f>IFERROR(__xludf.DUMMYFUNCTION("GOOGLETRANSLATE($B1169, $A$2, $B$2)"),"15 days ago")</f>
        <v>15 days ago</v>
      </c>
      <c r="D1169" s="7" t="s">
        <v>706</v>
      </c>
      <c r="E1169" s="7" t="s">
        <v>1462</v>
      </c>
      <c r="F1169" s="7" t="s">
        <v>1942</v>
      </c>
      <c r="G1169" s="7" t="s">
        <v>260</v>
      </c>
      <c r="H1169" s="7" t="s">
        <v>261</v>
      </c>
      <c r="I1169" s="7" t="s">
        <v>261</v>
      </c>
      <c r="J1169" s="7" t="str">
        <f>IFERROR(__xludf.DUMMYFUNCTION("GOOGLETRANSLATE($I1169, ""de"", ""en"")"),"NO SALARY DATA")</f>
        <v>NO SALARY DATA</v>
      </c>
      <c r="K1169" s="7" t="s">
        <v>261</v>
      </c>
      <c r="L1169" s="7" t="s">
        <v>423</v>
      </c>
      <c r="M1169" s="7" t="s">
        <v>263</v>
      </c>
      <c r="N1169" s="7" t="s">
        <v>260</v>
      </c>
      <c r="O1169" s="7"/>
      <c r="P1169" s="37"/>
      <c r="Q1169" s="7"/>
    </row>
    <row r="1170">
      <c r="A1170" s="7">
        <v>1165.0</v>
      </c>
      <c r="B1170" s="7" t="s">
        <v>892</v>
      </c>
      <c r="C1170" s="7" t="str">
        <f>IFERROR(__xludf.DUMMYFUNCTION("GOOGLETRANSLATE($B1170, $A$2, $B$2)"),"25 days ago")</f>
        <v>25 days ago</v>
      </c>
      <c r="D1170" s="7" t="s">
        <v>1970</v>
      </c>
      <c r="E1170" s="7" t="s">
        <v>480</v>
      </c>
      <c r="F1170" s="7" t="s">
        <v>1971</v>
      </c>
      <c r="G1170" s="7" t="s">
        <v>260</v>
      </c>
      <c r="H1170" s="7" t="s">
        <v>261</v>
      </c>
      <c r="I1170" s="7" t="s">
        <v>261</v>
      </c>
      <c r="J1170" s="7" t="str">
        <f>IFERROR(__xludf.DUMMYFUNCTION("GOOGLETRANSLATE($I1170, ""de"", ""en"")"),"NO SALARY DATA")</f>
        <v>NO SALARY DATA</v>
      </c>
      <c r="K1170" s="7" t="s">
        <v>261</v>
      </c>
      <c r="L1170" s="7"/>
      <c r="M1170" s="7" t="s">
        <v>263</v>
      </c>
      <c r="N1170" s="7" t="s">
        <v>260</v>
      </c>
      <c r="O1170" s="7"/>
      <c r="P1170" s="37"/>
      <c r="Q1170" s="7"/>
    </row>
    <row r="1171">
      <c r="A1171" s="7">
        <v>1166.0</v>
      </c>
      <c r="B1171" s="7" t="s">
        <v>892</v>
      </c>
      <c r="C1171" s="7" t="str">
        <f>IFERROR(__xludf.DUMMYFUNCTION("GOOGLETRANSLATE($B1171, $A$2, $B$2)"),"25 days ago")</f>
        <v>25 days ago</v>
      </c>
      <c r="D1171" s="7" t="s">
        <v>1970</v>
      </c>
      <c r="E1171" s="7" t="s">
        <v>480</v>
      </c>
      <c r="F1171" s="7" t="s">
        <v>1971</v>
      </c>
      <c r="G1171" s="7" t="s">
        <v>260</v>
      </c>
      <c r="H1171" s="7" t="s">
        <v>261</v>
      </c>
      <c r="I1171" s="7" t="s">
        <v>261</v>
      </c>
      <c r="J1171" s="7" t="str">
        <f>IFERROR(__xludf.DUMMYFUNCTION("GOOGLETRANSLATE($I1171, ""de"", ""en"")"),"NO SALARY DATA")</f>
        <v>NO SALARY DATA</v>
      </c>
      <c r="K1171" s="7" t="s">
        <v>261</v>
      </c>
      <c r="L1171" s="7"/>
      <c r="M1171" s="7" t="s">
        <v>263</v>
      </c>
      <c r="N1171" s="7" t="s">
        <v>260</v>
      </c>
      <c r="O1171" s="7"/>
      <c r="P1171" s="37"/>
      <c r="Q1171" s="7"/>
    </row>
    <row r="1172">
      <c r="A1172" s="7">
        <v>1167.0</v>
      </c>
      <c r="B1172" s="7" t="s">
        <v>371</v>
      </c>
      <c r="C1172" s="7" t="str">
        <f>IFERROR(__xludf.DUMMYFUNCTION("GOOGLETRANSLATE($B1172, $A$2, $B$2)"),"Straight")</f>
        <v>Straight</v>
      </c>
      <c r="D1172" s="7" t="s">
        <v>1999</v>
      </c>
      <c r="E1172" s="7" t="s">
        <v>271</v>
      </c>
      <c r="F1172" s="7" t="s">
        <v>2000</v>
      </c>
      <c r="G1172" s="7" t="s">
        <v>260</v>
      </c>
      <c r="H1172" s="7" t="s">
        <v>261</v>
      </c>
      <c r="I1172" s="7" t="s">
        <v>261</v>
      </c>
      <c r="J1172" s="7" t="str">
        <f>IFERROR(__xludf.DUMMYFUNCTION("GOOGLETRANSLATE($I1172, ""de"", ""en"")"),"NO SALARY DATA")</f>
        <v>NO SALARY DATA</v>
      </c>
      <c r="K1172" s="7" t="s">
        <v>261</v>
      </c>
      <c r="L1172" s="7"/>
      <c r="M1172" s="7" t="s">
        <v>263</v>
      </c>
      <c r="N1172" s="7" t="s">
        <v>260</v>
      </c>
      <c r="O1172" s="7"/>
      <c r="P1172" s="37"/>
      <c r="Q1172" s="7"/>
    </row>
    <row r="1173">
      <c r="A1173" s="7">
        <v>1168.0</v>
      </c>
      <c r="B1173" s="7" t="s">
        <v>371</v>
      </c>
      <c r="C1173" s="7" t="str">
        <f>IFERROR(__xludf.DUMMYFUNCTION("GOOGLETRANSLATE($B1173, $A$2, $B$2)"),"Straight")</f>
        <v>Straight</v>
      </c>
      <c r="D1173" s="7" t="s">
        <v>2175</v>
      </c>
      <c r="E1173" s="7" t="s">
        <v>271</v>
      </c>
      <c r="F1173" s="7" t="s">
        <v>2000</v>
      </c>
      <c r="G1173" s="7" t="s">
        <v>260</v>
      </c>
      <c r="H1173" s="7" t="s">
        <v>261</v>
      </c>
      <c r="I1173" s="7" t="s">
        <v>261</v>
      </c>
      <c r="J1173" s="7" t="str">
        <f>IFERROR(__xludf.DUMMYFUNCTION("GOOGLETRANSLATE($I1173, ""de"", ""en"")"),"NO SALARY DATA")</f>
        <v>NO SALARY DATA</v>
      </c>
      <c r="K1173" s="7" t="s">
        <v>261</v>
      </c>
      <c r="L1173" s="7"/>
      <c r="M1173" s="7" t="s">
        <v>263</v>
      </c>
      <c r="N1173" s="7" t="s">
        <v>260</v>
      </c>
      <c r="O1173" s="7"/>
      <c r="P1173" s="37"/>
      <c r="Q1173" s="7"/>
    </row>
    <row r="1174">
      <c r="A1174" s="7">
        <v>1169.0</v>
      </c>
      <c r="B1174" s="7" t="s">
        <v>346</v>
      </c>
      <c r="C1174" s="7" t="str">
        <f>IFERROR(__xludf.DUMMYFUNCTION("GOOGLETRANSLATE($B1174, $A$2, $B$2)"),"12 days ago")</f>
        <v>12 days ago</v>
      </c>
      <c r="D1174" s="7" t="s">
        <v>2116</v>
      </c>
      <c r="E1174" s="7" t="s">
        <v>580</v>
      </c>
      <c r="F1174" s="7" t="s">
        <v>2117</v>
      </c>
      <c r="G1174" s="7" t="s">
        <v>260</v>
      </c>
      <c r="H1174" s="7" t="s">
        <v>261</v>
      </c>
      <c r="I1174" s="7" t="s">
        <v>261</v>
      </c>
      <c r="J1174" s="7" t="str">
        <f>IFERROR(__xludf.DUMMYFUNCTION("GOOGLETRANSLATE($I1174, ""de"", ""en"")"),"NO SALARY DATA")</f>
        <v>NO SALARY DATA</v>
      </c>
      <c r="K1174" s="7" t="s">
        <v>261</v>
      </c>
      <c r="L1174" s="7"/>
      <c r="M1174" s="7" t="s">
        <v>452</v>
      </c>
      <c r="N1174" s="7" t="s">
        <v>260</v>
      </c>
      <c r="O1174" s="7"/>
      <c r="P1174" s="37"/>
      <c r="Q1174" s="7"/>
    </row>
    <row r="1175">
      <c r="A1175" s="7">
        <v>1170.0</v>
      </c>
      <c r="B1175" s="7" t="s">
        <v>324</v>
      </c>
      <c r="C1175" s="7" t="str">
        <f>IFERROR(__xludf.DUMMYFUNCTION("GOOGLETRANSLATE($B1175, $A$2, $B$2)"),"3 days ago")</f>
        <v>3 days ago</v>
      </c>
      <c r="D1175" s="7" t="s">
        <v>2099</v>
      </c>
      <c r="E1175" s="7" t="s">
        <v>280</v>
      </c>
      <c r="F1175" s="7" t="s">
        <v>2100</v>
      </c>
      <c r="G1175" s="7" t="s">
        <v>260</v>
      </c>
      <c r="H1175" s="7" t="s">
        <v>261</v>
      </c>
      <c r="I1175" s="7" t="s">
        <v>261</v>
      </c>
      <c r="J1175" s="7" t="str">
        <f>IFERROR(__xludf.DUMMYFUNCTION("GOOGLETRANSLATE($I1175, ""de"", ""en"")"),"NO SALARY DATA")</f>
        <v>NO SALARY DATA</v>
      </c>
      <c r="K1175" s="7" t="s">
        <v>261</v>
      </c>
      <c r="L1175" s="7"/>
      <c r="M1175" s="7" t="s">
        <v>263</v>
      </c>
      <c r="N1175" s="7" t="s">
        <v>260</v>
      </c>
      <c r="O1175" s="7"/>
      <c r="P1175" s="35"/>
      <c r="Q1175" s="7"/>
    </row>
    <row r="1176">
      <c r="A1176" s="7">
        <v>1171.0</v>
      </c>
      <c r="B1176" s="7" t="s">
        <v>705</v>
      </c>
      <c r="C1176" s="7" t="str">
        <f>IFERROR(__xludf.DUMMYFUNCTION("GOOGLETRANSLATE($B1176, $A$2, $B$2)"),"9 days ago")</f>
        <v>9 days ago</v>
      </c>
      <c r="D1176" s="7" t="s">
        <v>2108</v>
      </c>
      <c r="E1176" s="7" t="s">
        <v>539</v>
      </c>
      <c r="F1176" s="7" t="s">
        <v>1977</v>
      </c>
      <c r="G1176" s="7" t="s">
        <v>260</v>
      </c>
      <c r="H1176" s="7" t="s">
        <v>261</v>
      </c>
      <c r="I1176" s="7" t="s">
        <v>261</v>
      </c>
      <c r="J1176" s="7" t="str">
        <f>IFERROR(__xludf.DUMMYFUNCTION("GOOGLETRANSLATE($I1176, ""de"", ""en"")"),"NO SALARY DATA")</f>
        <v>NO SALARY DATA</v>
      </c>
      <c r="K1176" s="7" t="s">
        <v>261</v>
      </c>
      <c r="L1176" s="7" t="s">
        <v>455</v>
      </c>
      <c r="M1176" s="7" t="s">
        <v>263</v>
      </c>
      <c r="N1176" s="7" t="s">
        <v>331</v>
      </c>
      <c r="O1176" s="7"/>
      <c r="P1176" s="37"/>
      <c r="Q1176" s="7"/>
    </row>
    <row r="1177">
      <c r="A1177" s="7">
        <v>1172.0</v>
      </c>
      <c r="B1177" s="7" t="s">
        <v>371</v>
      </c>
      <c r="C1177" s="7" t="str">
        <f>IFERROR(__xludf.DUMMYFUNCTION("GOOGLETRANSLATE($B1177, $A$2, $B$2)"),"Straight")</f>
        <v>Straight</v>
      </c>
      <c r="D1177" s="7" t="s">
        <v>1999</v>
      </c>
      <c r="E1177" s="7" t="s">
        <v>271</v>
      </c>
      <c r="F1177" s="7" t="s">
        <v>2000</v>
      </c>
      <c r="G1177" s="7" t="s">
        <v>260</v>
      </c>
      <c r="H1177" s="7" t="s">
        <v>261</v>
      </c>
      <c r="I1177" s="7" t="s">
        <v>261</v>
      </c>
      <c r="J1177" s="7" t="str">
        <f>IFERROR(__xludf.DUMMYFUNCTION("GOOGLETRANSLATE($I1177, ""de"", ""en"")"),"NO SALARY DATA")</f>
        <v>NO SALARY DATA</v>
      </c>
      <c r="K1177" s="7" t="s">
        <v>261</v>
      </c>
      <c r="L1177" s="7"/>
      <c r="M1177" s="7" t="s">
        <v>263</v>
      </c>
      <c r="N1177" s="7" t="s">
        <v>260</v>
      </c>
      <c r="O1177" s="7"/>
      <c r="P1177" s="35"/>
      <c r="Q1177" s="7"/>
    </row>
    <row r="1178">
      <c r="A1178" s="7">
        <v>1173.0</v>
      </c>
      <c r="B1178" s="7" t="s">
        <v>705</v>
      </c>
      <c r="C1178" s="7" t="str">
        <f>IFERROR(__xludf.DUMMYFUNCTION("GOOGLETRANSLATE($B1178, $A$2, $B$2)"),"9 days ago")</f>
        <v>9 days ago</v>
      </c>
      <c r="D1178" s="7" t="s">
        <v>2108</v>
      </c>
      <c r="E1178" s="7" t="s">
        <v>539</v>
      </c>
      <c r="F1178" s="7" t="s">
        <v>1977</v>
      </c>
      <c r="G1178" s="7" t="s">
        <v>260</v>
      </c>
      <c r="H1178" s="7" t="s">
        <v>261</v>
      </c>
      <c r="I1178" s="7" t="s">
        <v>261</v>
      </c>
      <c r="J1178" s="7" t="str">
        <f>IFERROR(__xludf.DUMMYFUNCTION("GOOGLETRANSLATE($I1178, ""de"", ""en"")"),"NO SALARY DATA")</f>
        <v>NO SALARY DATA</v>
      </c>
      <c r="K1178" s="7" t="s">
        <v>261</v>
      </c>
      <c r="L1178" s="7" t="s">
        <v>455</v>
      </c>
      <c r="M1178" s="7" t="s">
        <v>263</v>
      </c>
      <c r="N1178" s="7" t="s">
        <v>331</v>
      </c>
      <c r="O1178" s="7"/>
      <c r="P1178" s="35"/>
      <c r="Q1178" s="7"/>
    </row>
    <row r="1179">
      <c r="A1179" s="7">
        <v>1174.0</v>
      </c>
      <c r="B1179" s="7" t="s">
        <v>705</v>
      </c>
      <c r="C1179" s="7" t="str">
        <f>IFERROR(__xludf.DUMMYFUNCTION("GOOGLETRANSLATE($B1179, $A$2, $B$2)"),"9 days ago")</f>
        <v>9 days ago</v>
      </c>
      <c r="D1179" s="7" t="s">
        <v>2093</v>
      </c>
      <c r="E1179" s="7" t="s">
        <v>539</v>
      </c>
      <c r="F1179" s="7" t="s">
        <v>1977</v>
      </c>
      <c r="G1179" s="7" t="s">
        <v>260</v>
      </c>
      <c r="H1179" s="7" t="s">
        <v>261</v>
      </c>
      <c r="I1179" s="7" t="s">
        <v>261</v>
      </c>
      <c r="J1179" s="7" t="str">
        <f>IFERROR(__xludf.DUMMYFUNCTION("GOOGLETRANSLATE($I1179, ""de"", ""en"")"),"NO SALARY DATA")</f>
        <v>NO SALARY DATA</v>
      </c>
      <c r="K1179" s="7" t="s">
        <v>261</v>
      </c>
      <c r="L1179" s="7" t="s">
        <v>455</v>
      </c>
      <c r="M1179" s="7" t="s">
        <v>263</v>
      </c>
      <c r="N1179" s="7" t="s">
        <v>331</v>
      </c>
      <c r="O1179" s="7"/>
      <c r="P1179" s="35"/>
      <c r="Q1179" s="7"/>
    </row>
    <row r="1180">
      <c r="A1180" s="7">
        <v>1175.0</v>
      </c>
      <c r="B1180" s="7" t="s">
        <v>442</v>
      </c>
      <c r="C1180" s="7" t="str">
        <f>IFERROR(__xludf.DUMMYFUNCTION("GOOGLETRANSLATE($B1180, $A$2, $B$2)"),"26 days ago")</f>
        <v>26 days ago</v>
      </c>
      <c r="D1180" s="7" t="s">
        <v>1996</v>
      </c>
      <c r="E1180" s="7" t="s">
        <v>1997</v>
      </c>
      <c r="F1180" s="7" t="s">
        <v>1998</v>
      </c>
      <c r="G1180" s="7" t="s">
        <v>260</v>
      </c>
      <c r="H1180" s="7" t="s">
        <v>261</v>
      </c>
      <c r="I1180" s="7" t="s">
        <v>261</v>
      </c>
      <c r="J1180" s="7" t="str">
        <f>IFERROR(__xludf.DUMMYFUNCTION("GOOGLETRANSLATE($I1180, ""de"", ""en"")"),"NO SALARY DATA")</f>
        <v>NO SALARY DATA</v>
      </c>
      <c r="K1180" s="7" t="s">
        <v>261</v>
      </c>
      <c r="L1180" s="7" t="s">
        <v>1373</v>
      </c>
      <c r="M1180" s="7" t="s">
        <v>263</v>
      </c>
      <c r="N1180" s="7" t="s">
        <v>336</v>
      </c>
      <c r="O1180" s="7"/>
      <c r="P1180" s="37"/>
      <c r="Q1180" s="7"/>
    </row>
    <row r="1181">
      <c r="A1181" s="7">
        <v>1176.0</v>
      </c>
      <c r="B1181" s="7" t="s">
        <v>265</v>
      </c>
      <c r="C1181" s="7" t="str">
        <f>IFERROR(__xludf.DUMMYFUNCTION("GOOGLETRANSLATE($B1181, $A$2, $B$2)"),"More than 30 days ago")</f>
        <v>More than 30 days ago</v>
      </c>
      <c r="D1181" s="7" t="s">
        <v>2024</v>
      </c>
      <c r="E1181" s="7" t="s">
        <v>439</v>
      </c>
      <c r="F1181" s="7" t="s">
        <v>2025</v>
      </c>
      <c r="G1181" s="7" t="s">
        <v>260</v>
      </c>
      <c r="H1181" s="7" t="s">
        <v>261</v>
      </c>
      <c r="I1181" s="7" t="s">
        <v>261</v>
      </c>
      <c r="J1181" s="7" t="str">
        <f>IFERROR(__xludf.DUMMYFUNCTION("GOOGLETRANSLATE($I1181, ""de"", ""en"")"),"NO SALARY DATA")</f>
        <v>NO SALARY DATA</v>
      </c>
      <c r="K1181" s="7" t="s">
        <v>261</v>
      </c>
      <c r="L1181" s="7" t="s">
        <v>649</v>
      </c>
      <c r="M1181" s="7" t="s">
        <v>263</v>
      </c>
      <c r="N1181" s="7" t="s">
        <v>260</v>
      </c>
      <c r="O1181" s="7"/>
      <c r="P1181" s="35"/>
      <c r="Q1181" s="7"/>
    </row>
    <row r="1182">
      <c r="A1182" s="7">
        <v>1177.0</v>
      </c>
      <c r="B1182" s="7" t="s">
        <v>379</v>
      </c>
      <c r="C1182" s="7" t="str">
        <f>IFERROR(__xludf.DUMMYFUNCTION("GOOGLETRANSLATE($B1182, $A$2, $B$2)"),"13 days ago")</f>
        <v>13 days ago</v>
      </c>
      <c r="D1182" s="7" t="s">
        <v>573</v>
      </c>
      <c r="E1182" s="7" t="s">
        <v>539</v>
      </c>
      <c r="F1182" s="7" t="s">
        <v>1977</v>
      </c>
      <c r="G1182" s="7" t="s">
        <v>260</v>
      </c>
      <c r="H1182" s="7" t="s">
        <v>261</v>
      </c>
      <c r="I1182" s="7" t="s">
        <v>261</v>
      </c>
      <c r="J1182" s="7" t="str">
        <f>IFERROR(__xludf.DUMMYFUNCTION("GOOGLETRANSLATE($I1182, ""de"", ""en"")"),"NO SALARY DATA")</f>
        <v>NO SALARY DATA</v>
      </c>
      <c r="K1182" s="7" t="s">
        <v>261</v>
      </c>
      <c r="L1182" s="7" t="s">
        <v>312</v>
      </c>
      <c r="M1182" s="7" t="s">
        <v>263</v>
      </c>
      <c r="N1182" s="7" t="s">
        <v>331</v>
      </c>
      <c r="O1182" s="7"/>
      <c r="P1182" s="35"/>
      <c r="Q1182" s="7"/>
    </row>
    <row r="1183">
      <c r="A1183" s="7">
        <v>1178.0</v>
      </c>
      <c r="B1183" s="7" t="s">
        <v>379</v>
      </c>
      <c r="C1183" s="7" t="str">
        <f>IFERROR(__xludf.DUMMYFUNCTION("GOOGLETRANSLATE($B1183, $A$2, $B$2)"),"13 days ago")</f>
        <v>13 days ago</v>
      </c>
      <c r="D1183" s="7" t="s">
        <v>573</v>
      </c>
      <c r="E1183" s="7" t="s">
        <v>539</v>
      </c>
      <c r="F1183" s="7" t="s">
        <v>1977</v>
      </c>
      <c r="G1183" s="7" t="s">
        <v>260</v>
      </c>
      <c r="H1183" s="7" t="s">
        <v>261</v>
      </c>
      <c r="I1183" s="7" t="s">
        <v>261</v>
      </c>
      <c r="J1183" s="7" t="str">
        <f>IFERROR(__xludf.DUMMYFUNCTION("GOOGLETRANSLATE($I1183, ""de"", ""en"")"),"NO SALARY DATA")</f>
        <v>NO SALARY DATA</v>
      </c>
      <c r="K1183" s="7" t="s">
        <v>261</v>
      </c>
      <c r="L1183" s="7" t="s">
        <v>312</v>
      </c>
      <c r="M1183" s="7" t="s">
        <v>263</v>
      </c>
      <c r="N1183" s="7" t="s">
        <v>331</v>
      </c>
      <c r="O1183" s="7"/>
      <c r="P1183" s="35"/>
      <c r="Q1183" s="7"/>
    </row>
    <row r="1184">
      <c r="A1184" s="7">
        <v>1179.0</v>
      </c>
      <c r="B1184" s="7" t="s">
        <v>346</v>
      </c>
      <c r="C1184" s="7" t="str">
        <f>IFERROR(__xludf.DUMMYFUNCTION("GOOGLETRANSLATE($B1184, $A$2, $B$2)"),"12 days ago")</f>
        <v>12 days ago</v>
      </c>
      <c r="D1184" s="7" t="s">
        <v>2180</v>
      </c>
      <c r="E1184" s="7" t="s">
        <v>1388</v>
      </c>
      <c r="F1184" s="7" t="s">
        <v>2181</v>
      </c>
      <c r="G1184" s="7" t="s">
        <v>260</v>
      </c>
      <c r="H1184" s="7" t="s">
        <v>261</v>
      </c>
      <c r="I1184" s="7" t="s">
        <v>261</v>
      </c>
      <c r="J1184" s="7" t="str">
        <f>IFERROR(__xludf.DUMMYFUNCTION("GOOGLETRANSLATE($I1184, ""de"", ""en"")"),"NO SALARY DATA")</f>
        <v>NO SALARY DATA</v>
      </c>
      <c r="K1184" s="7" t="s">
        <v>261</v>
      </c>
      <c r="L1184" s="7" t="s">
        <v>2182</v>
      </c>
      <c r="M1184" s="7" t="s">
        <v>263</v>
      </c>
      <c r="N1184" s="7" t="s">
        <v>788</v>
      </c>
      <c r="O1184" s="7"/>
      <c r="P1184" s="37"/>
      <c r="Q1184" s="7"/>
    </row>
    <row r="1185">
      <c r="A1185" s="7">
        <v>1180.0</v>
      </c>
      <c r="B1185" s="7" t="s">
        <v>332</v>
      </c>
      <c r="C1185" s="7" t="str">
        <f>IFERROR(__xludf.DUMMYFUNCTION("GOOGLETRANSLATE($B1185, $A$2, $B$2)"),"4 days ago")</f>
        <v>4 days ago</v>
      </c>
      <c r="D1185" s="7" t="s">
        <v>2183</v>
      </c>
      <c r="E1185" s="7" t="s">
        <v>258</v>
      </c>
      <c r="F1185" s="7" t="s">
        <v>260</v>
      </c>
      <c r="G1185" s="7" t="s">
        <v>260</v>
      </c>
      <c r="H1185" s="7" t="s">
        <v>261</v>
      </c>
      <c r="I1185" s="7" t="s">
        <v>261</v>
      </c>
      <c r="J1185" s="7" t="str">
        <f>IFERROR(__xludf.DUMMYFUNCTION("GOOGLETRANSLATE($I1185, ""de"", ""en"")"),"NO SALARY DATA")</f>
        <v>NO SALARY DATA</v>
      </c>
      <c r="K1185" s="7" t="s">
        <v>261</v>
      </c>
      <c r="L1185" s="7"/>
      <c r="M1185" s="7" t="s">
        <v>263</v>
      </c>
      <c r="N1185" s="7" t="s">
        <v>260</v>
      </c>
      <c r="O1185" s="7"/>
      <c r="P1185" s="37"/>
      <c r="Q1185" s="7"/>
    </row>
    <row r="1186">
      <c r="A1186" s="7">
        <v>1181.0</v>
      </c>
      <c r="B1186" s="7" t="s">
        <v>265</v>
      </c>
      <c r="C1186" s="7" t="str">
        <f>IFERROR(__xludf.DUMMYFUNCTION("GOOGLETRANSLATE($B1186, $A$2, $B$2)"),"More than 30 days ago")</f>
        <v>More than 30 days ago</v>
      </c>
      <c r="D1186" s="7" t="s">
        <v>2184</v>
      </c>
      <c r="E1186" s="7" t="s">
        <v>348</v>
      </c>
      <c r="F1186" s="7" t="s">
        <v>260</v>
      </c>
      <c r="G1186" s="7" t="s">
        <v>260</v>
      </c>
      <c r="H1186" s="7" t="s">
        <v>261</v>
      </c>
      <c r="I1186" s="7" t="s">
        <v>261</v>
      </c>
      <c r="J1186" s="7" t="str">
        <f>IFERROR(__xludf.DUMMYFUNCTION("GOOGLETRANSLATE($I1186, ""de"", ""en"")"),"NO SALARY DATA")</f>
        <v>NO SALARY DATA</v>
      </c>
      <c r="K1186" s="7" t="s">
        <v>261</v>
      </c>
      <c r="L1186" s="7" t="s">
        <v>423</v>
      </c>
      <c r="M1186" s="7" t="s">
        <v>263</v>
      </c>
      <c r="N1186" s="7" t="s">
        <v>260</v>
      </c>
      <c r="O1186" s="7"/>
      <c r="P1186" s="37"/>
      <c r="Q1186" s="7"/>
    </row>
    <row r="1187">
      <c r="A1187" s="7">
        <v>1182.0</v>
      </c>
      <c r="B1187" s="7" t="s">
        <v>469</v>
      </c>
      <c r="C1187" s="7" t="str">
        <f>IFERROR(__xludf.DUMMYFUNCTION("GOOGLETRANSLATE($B1187, $A$2, $B$2)"),"19 days ago")</f>
        <v>19 days ago</v>
      </c>
      <c r="D1187" s="7" t="s">
        <v>2185</v>
      </c>
      <c r="E1187" s="7" t="s">
        <v>343</v>
      </c>
      <c r="F1187" s="7" t="s">
        <v>2186</v>
      </c>
      <c r="G1187" s="7" t="s">
        <v>260</v>
      </c>
      <c r="H1187" s="7" t="s">
        <v>261</v>
      </c>
      <c r="I1187" s="7" t="s">
        <v>261</v>
      </c>
      <c r="J1187" s="7" t="str">
        <f>IFERROR(__xludf.DUMMYFUNCTION("GOOGLETRANSLATE($I1187, ""de"", ""en"")"),"NO SALARY DATA")</f>
        <v>NO SALARY DATA</v>
      </c>
      <c r="K1187" s="7" t="s">
        <v>261</v>
      </c>
      <c r="L1187" s="7" t="s">
        <v>1653</v>
      </c>
      <c r="M1187" s="7" t="s">
        <v>263</v>
      </c>
      <c r="N1187" s="7" t="s">
        <v>260</v>
      </c>
      <c r="O1187" s="7"/>
      <c r="P1187" s="37"/>
      <c r="Q1187" s="7"/>
    </row>
    <row r="1188">
      <c r="A1188" s="7">
        <v>1183.0</v>
      </c>
      <c r="B1188" s="7" t="s">
        <v>637</v>
      </c>
      <c r="C1188" s="7" t="str">
        <f>IFERROR(__xludf.DUMMYFUNCTION("GOOGLETRANSLATE($B1188, $A$2, $B$2)"),"17 days ago")</f>
        <v>17 days ago</v>
      </c>
      <c r="D1188" s="7" t="s">
        <v>2187</v>
      </c>
      <c r="E1188" s="7" t="s">
        <v>1084</v>
      </c>
      <c r="F1188" s="7" t="s">
        <v>260</v>
      </c>
      <c r="G1188" s="7" t="s">
        <v>260</v>
      </c>
      <c r="H1188" s="7" t="s">
        <v>261</v>
      </c>
      <c r="I1188" s="7" t="s">
        <v>261</v>
      </c>
      <c r="J1188" s="7" t="str">
        <f>IFERROR(__xludf.DUMMYFUNCTION("GOOGLETRANSLATE($I1188, ""de"", ""en"")"),"NO SALARY DATA")</f>
        <v>NO SALARY DATA</v>
      </c>
      <c r="K1188" s="7" t="s">
        <v>261</v>
      </c>
      <c r="L1188" s="7"/>
      <c r="M1188" s="7" t="s">
        <v>263</v>
      </c>
      <c r="N1188" s="7" t="s">
        <v>260</v>
      </c>
      <c r="O1188" s="7"/>
      <c r="P1188" s="37"/>
      <c r="Q1188" s="7"/>
    </row>
    <row r="1189">
      <c r="A1189" s="7">
        <v>1184.0</v>
      </c>
      <c r="B1189" s="7" t="s">
        <v>269</v>
      </c>
      <c r="C1189" s="7" t="str">
        <f>IFERROR(__xludf.DUMMYFUNCTION("GOOGLETRANSLATE($B1189, $A$2, $B$2)"),"5 days ago")</f>
        <v>5 days ago</v>
      </c>
      <c r="D1189" s="7" t="s">
        <v>2188</v>
      </c>
      <c r="E1189" s="7" t="s">
        <v>348</v>
      </c>
      <c r="F1189" s="7" t="s">
        <v>260</v>
      </c>
      <c r="G1189" s="7" t="s">
        <v>260</v>
      </c>
      <c r="H1189" s="7" t="s">
        <v>261</v>
      </c>
      <c r="I1189" s="7" t="s">
        <v>261</v>
      </c>
      <c r="J1189" s="7" t="str">
        <f>IFERROR(__xludf.DUMMYFUNCTION("GOOGLETRANSLATE($I1189, ""de"", ""en"")"),"NO SALARY DATA")</f>
        <v>NO SALARY DATA</v>
      </c>
      <c r="K1189" s="7" t="s">
        <v>261</v>
      </c>
      <c r="L1189" s="7" t="s">
        <v>782</v>
      </c>
      <c r="M1189" s="7" t="s">
        <v>263</v>
      </c>
      <c r="N1189" s="7" t="s">
        <v>260</v>
      </c>
      <c r="O1189" s="7"/>
      <c r="P1189" s="37"/>
      <c r="Q1189" s="7"/>
    </row>
    <row r="1190">
      <c r="A1190" s="7">
        <v>1185.0</v>
      </c>
      <c r="B1190" s="7" t="s">
        <v>265</v>
      </c>
      <c r="C1190" s="7" t="str">
        <f>IFERROR(__xludf.DUMMYFUNCTION("GOOGLETRANSLATE($B1190, $A$2, $B$2)"),"More than 30 days ago")</f>
        <v>More than 30 days ago</v>
      </c>
      <c r="D1190" s="7" t="s">
        <v>2189</v>
      </c>
      <c r="E1190" s="7" t="s">
        <v>480</v>
      </c>
      <c r="F1190" s="7" t="s">
        <v>260</v>
      </c>
      <c r="G1190" s="7" t="s">
        <v>260</v>
      </c>
      <c r="H1190" s="7" t="s">
        <v>261</v>
      </c>
      <c r="I1190" s="7" t="s">
        <v>261</v>
      </c>
      <c r="J1190" s="7" t="str">
        <f>IFERROR(__xludf.DUMMYFUNCTION("GOOGLETRANSLATE($I1190, ""de"", ""en"")"),"NO SALARY DATA")</f>
        <v>NO SALARY DATA</v>
      </c>
      <c r="K1190" s="7" t="s">
        <v>261</v>
      </c>
      <c r="L1190" s="7"/>
      <c r="M1190" s="7" t="s">
        <v>263</v>
      </c>
      <c r="N1190" s="7" t="s">
        <v>260</v>
      </c>
      <c r="O1190" s="7"/>
      <c r="P1190" s="37"/>
      <c r="Q1190" s="7"/>
    </row>
    <row r="1191">
      <c r="A1191" s="7">
        <v>1186.0</v>
      </c>
      <c r="B1191" s="7" t="s">
        <v>332</v>
      </c>
      <c r="C1191" s="7" t="str">
        <f>IFERROR(__xludf.DUMMYFUNCTION("GOOGLETRANSLATE($B1191, $A$2, $B$2)"),"4 days ago")</f>
        <v>4 days ago</v>
      </c>
      <c r="D1191" s="7" t="s">
        <v>2190</v>
      </c>
      <c r="E1191" s="7" t="s">
        <v>343</v>
      </c>
      <c r="F1191" s="7" t="s">
        <v>2191</v>
      </c>
      <c r="G1191" s="7" t="s">
        <v>260</v>
      </c>
      <c r="H1191" s="7" t="s">
        <v>261</v>
      </c>
      <c r="I1191" s="7" t="s">
        <v>261</v>
      </c>
      <c r="J1191" s="7" t="str">
        <f>IFERROR(__xludf.DUMMYFUNCTION("GOOGLETRANSLATE($I1191, ""de"", ""en"")"),"NO SALARY DATA")</f>
        <v>NO SALARY DATA</v>
      </c>
      <c r="K1191" s="7" t="s">
        <v>261</v>
      </c>
      <c r="L1191" s="7" t="s">
        <v>577</v>
      </c>
      <c r="M1191" s="7" t="s">
        <v>263</v>
      </c>
      <c r="N1191" s="7" t="s">
        <v>260</v>
      </c>
      <c r="O1191" s="7"/>
      <c r="P1191" s="35"/>
      <c r="Q1191" s="7"/>
    </row>
    <row r="1192">
      <c r="A1192" s="7">
        <v>1187.0</v>
      </c>
      <c r="B1192" s="7" t="s">
        <v>265</v>
      </c>
      <c r="C1192" s="7" t="str">
        <f>IFERROR(__xludf.DUMMYFUNCTION("GOOGLETRANSLATE($B1192, $A$2, $B$2)"),"More than 30 days ago")</f>
        <v>More than 30 days ago</v>
      </c>
      <c r="D1192" s="7" t="s">
        <v>2192</v>
      </c>
      <c r="E1192" s="7" t="s">
        <v>258</v>
      </c>
      <c r="F1192" s="7" t="s">
        <v>2193</v>
      </c>
      <c r="G1192" s="7" t="s">
        <v>260</v>
      </c>
      <c r="H1192" s="7" t="s">
        <v>261</v>
      </c>
      <c r="I1192" s="7" t="s">
        <v>261</v>
      </c>
      <c r="J1192" s="7" t="str">
        <f>IFERROR(__xludf.DUMMYFUNCTION("GOOGLETRANSLATE($I1192, ""de"", ""en"")"),"NO SALARY DATA")</f>
        <v>NO SALARY DATA</v>
      </c>
      <c r="K1192" s="7" t="s">
        <v>261</v>
      </c>
      <c r="L1192" s="7"/>
      <c r="M1192" s="7" t="s">
        <v>263</v>
      </c>
      <c r="N1192" s="7" t="s">
        <v>819</v>
      </c>
      <c r="O1192" s="7"/>
      <c r="P1192" s="37"/>
      <c r="Q1192" s="7"/>
    </row>
    <row r="1193">
      <c r="A1193" s="7">
        <v>1188.0</v>
      </c>
      <c r="B1193" s="7" t="s">
        <v>332</v>
      </c>
      <c r="C1193" s="7" t="str">
        <f>IFERROR(__xludf.DUMMYFUNCTION("GOOGLETRANSLATE($B1193, $A$2, $B$2)"),"4 days ago")</f>
        <v>4 days ago</v>
      </c>
      <c r="D1193" s="7" t="s">
        <v>2194</v>
      </c>
      <c r="E1193" s="7" t="s">
        <v>343</v>
      </c>
      <c r="F1193" s="7" t="s">
        <v>2195</v>
      </c>
      <c r="G1193" s="7" t="s">
        <v>260</v>
      </c>
      <c r="H1193" s="7" t="s">
        <v>261</v>
      </c>
      <c r="I1193" s="7" t="s">
        <v>261</v>
      </c>
      <c r="J1193" s="7" t="str">
        <f>IFERROR(__xludf.DUMMYFUNCTION("GOOGLETRANSLATE($I1193, ""de"", ""en"")"),"NO SALARY DATA")</f>
        <v>NO SALARY DATA</v>
      </c>
      <c r="K1193" s="7" t="s">
        <v>261</v>
      </c>
      <c r="L1193" s="7"/>
      <c r="M1193" s="7" t="s">
        <v>673</v>
      </c>
      <c r="N1193" s="7" t="s">
        <v>260</v>
      </c>
      <c r="O1193" s="7"/>
      <c r="P1193" s="37"/>
      <c r="Q1193" s="7"/>
    </row>
    <row r="1194">
      <c r="A1194" s="7">
        <v>1189.0</v>
      </c>
      <c r="B1194" s="7" t="s">
        <v>324</v>
      </c>
      <c r="C1194" s="7" t="str">
        <f>IFERROR(__xludf.DUMMYFUNCTION("GOOGLETRANSLATE($B1194, $A$2, $B$2)"),"3 days ago")</f>
        <v>3 days ago</v>
      </c>
      <c r="D1194" s="7" t="s">
        <v>2196</v>
      </c>
      <c r="E1194" s="7" t="s">
        <v>280</v>
      </c>
      <c r="F1194" s="7" t="s">
        <v>260</v>
      </c>
      <c r="G1194" s="7" t="s">
        <v>260</v>
      </c>
      <c r="H1194" s="7" t="s">
        <v>261</v>
      </c>
      <c r="I1194" s="7" t="s">
        <v>261</v>
      </c>
      <c r="J1194" s="7" t="str">
        <f>IFERROR(__xludf.DUMMYFUNCTION("GOOGLETRANSLATE($I1194, ""de"", ""en"")"),"NO SALARY DATA")</f>
        <v>NO SALARY DATA</v>
      </c>
      <c r="K1194" s="7" t="s">
        <v>261</v>
      </c>
      <c r="L1194" s="7" t="s">
        <v>423</v>
      </c>
      <c r="M1194" s="7" t="s">
        <v>263</v>
      </c>
      <c r="N1194" s="7" t="s">
        <v>260</v>
      </c>
      <c r="O1194" s="7"/>
      <c r="P1194" s="37"/>
      <c r="Q1194" s="7"/>
    </row>
    <row r="1195">
      <c r="A1195" s="7">
        <v>1190.0</v>
      </c>
      <c r="B1195" s="7" t="s">
        <v>469</v>
      </c>
      <c r="C1195" s="7" t="str">
        <f>IFERROR(__xludf.DUMMYFUNCTION("GOOGLETRANSLATE($B1195, $A$2, $B$2)"),"19 days ago")</f>
        <v>19 days ago</v>
      </c>
      <c r="D1195" s="7" t="s">
        <v>2197</v>
      </c>
      <c r="E1195" s="7" t="s">
        <v>343</v>
      </c>
      <c r="F1195" s="7" t="s">
        <v>2186</v>
      </c>
      <c r="G1195" s="7" t="s">
        <v>260</v>
      </c>
      <c r="H1195" s="7" t="s">
        <v>261</v>
      </c>
      <c r="I1195" s="7" t="s">
        <v>261</v>
      </c>
      <c r="J1195" s="7" t="str">
        <f>IFERROR(__xludf.DUMMYFUNCTION("GOOGLETRANSLATE($I1195, ""de"", ""en"")"),"NO SALARY DATA")</f>
        <v>NO SALARY DATA</v>
      </c>
      <c r="K1195" s="7" t="s">
        <v>261</v>
      </c>
      <c r="L1195" s="7" t="s">
        <v>1653</v>
      </c>
      <c r="M1195" s="7" t="s">
        <v>263</v>
      </c>
      <c r="N1195" s="7" t="s">
        <v>260</v>
      </c>
      <c r="O1195" s="7"/>
      <c r="P1195" s="37"/>
      <c r="Q1195" s="7"/>
    </row>
    <row r="1196">
      <c r="A1196" s="7">
        <v>1191.0</v>
      </c>
      <c r="B1196" s="7" t="s">
        <v>2092</v>
      </c>
      <c r="C1196" s="7" t="str">
        <f>IFERROR(__xludf.DUMMYFUNCTION("GOOGLETRANSLATE($B1196, $A$2, $B$2)"),"8 days ago")</f>
        <v>8 days ago</v>
      </c>
      <c r="D1196" s="7" t="s">
        <v>2198</v>
      </c>
      <c r="E1196" s="7" t="s">
        <v>343</v>
      </c>
      <c r="F1196" s="7" t="s">
        <v>2199</v>
      </c>
      <c r="G1196" s="7" t="s">
        <v>260</v>
      </c>
      <c r="H1196" s="7" t="s">
        <v>261</v>
      </c>
      <c r="I1196" s="7" t="s">
        <v>261</v>
      </c>
      <c r="J1196" s="7" t="str">
        <f>IFERROR(__xludf.DUMMYFUNCTION("GOOGLETRANSLATE($I1196, ""de"", ""en"")"),"NO SALARY DATA")</f>
        <v>NO SALARY DATA</v>
      </c>
      <c r="K1196" s="7" t="s">
        <v>261</v>
      </c>
      <c r="L1196" s="7"/>
      <c r="M1196" s="7" t="s">
        <v>263</v>
      </c>
      <c r="N1196" s="7" t="s">
        <v>260</v>
      </c>
      <c r="O1196" s="7"/>
      <c r="P1196" s="37"/>
      <c r="Q1196" s="7"/>
    </row>
    <row r="1197">
      <c r="A1197" s="7">
        <v>1192.0</v>
      </c>
      <c r="B1197" s="7" t="s">
        <v>265</v>
      </c>
      <c r="C1197" s="7" t="str">
        <f>IFERROR(__xludf.DUMMYFUNCTION("GOOGLETRANSLATE($B1197, $A$2, $B$2)"),"More than 30 days ago")</f>
        <v>More than 30 days ago</v>
      </c>
      <c r="D1197" s="7" t="s">
        <v>2200</v>
      </c>
      <c r="E1197" s="7" t="s">
        <v>405</v>
      </c>
      <c r="F1197" s="7" t="s">
        <v>260</v>
      </c>
      <c r="G1197" s="7" t="s">
        <v>260</v>
      </c>
      <c r="H1197" s="7" t="s">
        <v>261</v>
      </c>
      <c r="I1197" s="7" t="s">
        <v>261</v>
      </c>
      <c r="J1197" s="7" t="str">
        <f>IFERROR(__xludf.DUMMYFUNCTION("GOOGLETRANSLATE($I1197, ""de"", ""en"")"),"NO SALARY DATA")</f>
        <v>NO SALARY DATA</v>
      </c>
      <c r="K1197" s="7" t="s">
        <v>261</v>
      </c>
      <c r="L1197" s="7"/>
      <c r="M1197" s="7" t="s">
        <v>263</v>
      </c>
      <c r="N1197" s="7" t="s">
        <v>260</v>
      </c>
      <c r="O1197" s="7"/>
      <c r="P1197" s="37"/>
      <c r="Q1197" s="7"/>
    </row>
    <row r="1198">
      <c r="A1198" s="7">
        <v>1193.0</v>
      </c>
      <c r="B1198" s="7" t="s">
        <v>265</v>
      </c>
      <c r="C1198" s="7" t="str">
        <f>IFERROR(__xludf.DUMMYFUNCTION("GOOGLETRANSLATE($B1198, $A$2, $B$2)"),"More than 30 days ago")</f>
        <v>More than 30 days ago</v>
      </c>
      <c r="D1198" s="7" t="s">
        <v>2201</v>
      </c>
      <c r="E1198" s="7" t="s">
        <v>2202</v>
      </c>
      <c r="F1198" s="7" t="s">
        <v>260</v>
      </c>
      <c r="G1198" s="7" t="s">
        <v>260</v>
      </c>
      <c r="H1198" s="7" t="s">
        <v>261</v>
      </c>
      <c r="I1198" s="7" t="s">
        <v>261</v>
      </c>
      <c r="J1198" s="7" t="str">
        <f>IFERROR(__xludf.DUMMYFUNCTION("GOOGLETRANSLATE($I1198, ""de"", ""en"")"),"NO SALARY DATA")</f>
        <v>NO SALARY DATA</v>
      </c>
      <c r="K1198" s="7" t="s">
        <v>261</v>
      </c>
      <c r="L1198" s="7" t="s">
        <v>777</v>
      </c>
      <c r="M1198" s="7" t="s">
        <v>263</v>
      </c>
      <c r="N1198" s="7" t="s">
        <v>260</v>
      </c>
      <c r="O1198" s="7"/>
      <c r="P1198" s="37"/>
      <c r="Q1198" s="7"/>
    </row>
    <row r="1199">
      <c r="A1199" s="7">
        <v>1194.0</v>
      </c>
      <c r="B1199" s="7" t="s">
        <v>341</v>
      </c>
      <c r="C1199" s="7" t="str">
        <f>IFERROR(__xludf.DUMMYFUNCTION("GOOGLETRANSLATE($B1199, $A$2, $B$2)"),"before 14 days")</f>
        <v>before 14 days</v>
      </c>
      <c r="D1199" s="7" t="s">
        <v>2203</v>
      </c>
      <c r="E1199" s="7" t="s">
        <v>271</v>
      </c>
      <c r="F1199" s="7" t="s">
        <v>260</v>
      </c>
      <c r="G1199" s="7" t="s">
        <v>260</v>
      </c>
      <c r="H1199" s="7" t="s">
        <v>261</v>
      </c>
      <c r="I1199" s="7" t="s">
        <v>261</v>
      </c>
      <c r="J1199" s="7" t="str">
        <f>IFERROR(__xludf.DUMMYFUNCTION("GOOGLETRANSLATE($I1199, ""de"", ""en"")"),"NO SALARY DATA")</f>
        <v>NO SALARY DATA</v>
      </c>
      <c r="K1199" s="7" t="s">
        <v>261</v>
      </c>
      <c r="L1199" s="7" t="s">
        <v>782</v>
      </c>
      <c r="M1199" s="7" t="s">
        <v>263</v>
      </c>
      <c r="N1199" s="7" t="s">
        <v>260</v>
      </c>
      <c r="O1199" s="7"/>
      <c r="P1199" s="37"/>
      <c r="Q1199" s="7"/>
    </row>
    <row r="1200">
      <c r="A1200" s="7">
        <v>1195.0</v>
      </c>
      <c r="B1200" s="7" t="s">
        <v>637</v>
      </c>
      <c r="C1200" s="7" t="str">
        <f>IFERROR(__xludf.DUMMYFUNCTION("GOOGLETRANSLATE($B1200, $A$2, $B$2)"),"17 days ago")</f>
        <v>17 days ago</v>
      </c>
      <c r="D1200" s="7" t="s">
        <v>2204</v>
      </c>
      <c r="E1200" s="7" t="s">
        <v>280</v>
      </c>
      <c r="F1200" s="7" t="s">
        <v>260</v>
      </c>
      <c r="G1200" s="7" t="s">
        <v>260</v>
      </c>
      <c r="H1200" s="7" t="s">
        <v>261</v>
      </c>
      <c r="I1200" s="7" t="s">
        <v>261</v>
      </c>
      <c r="J1200" s="7" t="str">
        <f>IFERROR(__xludf.DUMMYFUNCTION("GOOGLETRANSLATE($I1200, ""de"", ""en"")"),"NO SALARY DATA")</f>
        <v>NO SALARY DATA</v>
      </c>
      <c r="K1200" s="7" t="s">
        <v>261</v>
      </c>
      <c r="L1200" s="7" t="s">
        <v>345</v>
      </c>
      <c r="M1200" s="7" t="s">
        <v>263</v>
      </c>
      <c r="N1200" s="7" t="s">
        <v>260</v>
      </c>
      <c r="O1200" s="7"/>
      <c r="P1200" s="37"/>
      <c r="Q1200" s="7"/>
    </row>
    <row r="1201">
      <c r="A1201" s="7">
        <v>1196.0</v>
      </c>
      <c r="B1201" s="7" t="s">
        <v>469</v>
      </c>
      <c r="C1201" s="7" t="str">
        <f>IFERROR(__xludf.DUMMYFUNCTION("GOOGLETRANSLATE($B1201, $A$2, $B$2)"),"19 days ago")</f>
        <v>19 days ago</v>
      </c>
      <c r="D1201" s="7" t="s">
        <v>2205</v>
      </c>
      <c r="E1201" s="7" t="s">
        <v>348</v>
      </c>
      <c r="F1201" s="7" t="s">
        <v>260</v>
      </c>
      <c r="G1201" s="7" t="s">
        <v>260</v>
      </c>
      <c r="H1201" s="7" t="s">
        <v>261</v>
      </c>
      <c r="I1201" s="7" t="s">
        <v>261</v>
      </c>
      <c r="J1201" s="7" t="str">
        <f>IFERROR(__xludf.DUMMYFUNCTION("GOOGLETRANSLATE($I1201, ""de"", ""en"")"),"NO SALARY DATA")</f>
        <v>NO SALARY DATA</v>
      </c>
      <c r="K1201" s="7" t="s">
        <v>261</v>
      </c>
      <c r="L1201" s="7"/>
      <c r="M1201" s="7" t="s">
        <v>263</v>
      </c>
      <c r="N1201" s="7" t="s">
        <v>260</v>
      </c>
      <c r="O1201" s="7"/>
      <c r="P1201" s="37"/>
      <c r="Q1201" s="7"/>
    </row>
    <row r="1202">
      <c r="A1202" s="7">
        <v>1197.0</v>
      </c>
      <c r="B1202" s="7" t="s">
        <v>442</v>
      </c>
      <c r="C1202" s="7" t="str">
        <f>IFERROR(__xludf.DUMMYFUNCTION("GOOGLETRANSLATE($B1202, $A$2, $B$2)"),"26 days ago")</f>
        <v>26 days ago</v>
      </c>
      <c r="D1202" s="7" t="s">
        <v>1120</v>
      </c>
      <c r="E1202" s="7" t="s">
        <v>1121</v>
      </c>
      <c r="F1202" s="7" t="s">
        <v>1122</v>
      </c>
      <c r="G1202" s="7" t="s">
        <v>260</v>
      </c>
      <c r="H1202" s="7" t="s">
        <v>261</v>
      </c>
      <c r="I1202" s="7" t="s">
        <v>261</v>
      </c>
      <c r="J1202" s="7" t="str">
        <f>IFERROR(__xludf.DUMMYFUNCTION("GOOGLETRANSLATE($I1202, ""de"", ""en"")"),"NO SALARY DATA")</f>
        <v>NO SALARY DATA</v>
      </c>
      <c r="K1202" s="7" t="s">
        <v>261</v>
      </c>
      <c r="L1202" s="7" t="s">
        <v>455</v>
      </c>
      <c r="M1202" s="7" t="s">
        <v>263</v>
      </c>
      <c r="N1202" s="7" t="s">
        <v>260</v>
      </c>
      <c r="O1202" s="7"/>
      <c r="P1202" s="37"/>
      <c r="Q1202" s="7"/>
    </row>
    <row r="1203">
      <c r="A1203" s="7">
        <v>1198.0</v>
      </c>
      <c r="B1203" s="7" t="s">
        <v>265</v>
      </c>
      <c r="C1203" s="7" t="str">
        <f>IFERROR(__xludf.DUMMYFUNCTION("GOOGLETRANSLATE($B1203, $A$2, $B$2)"),"More than 30 days ago")</f>
        <v>More than 30 days ago</v>
      </c>
      <c r="D1203" s="7" t="s">
        <v>2206</v>
      </c>
      <c r="E1203" s="7" t="s">
        <v>271</v>
      </c>
      <c r="F1203" s="7" t="s">
        <v>260</v>
      </c>
      <c r="G1203" s="7" t="s">
        <v>260</v>
      </c>
      <c r="H1203" s="7" t="s">
        <v>261</v>
      </c>
      <c r="I1203" s="7" t="s">
        <v>261</v>
      </c>
      <c r="J1203" s="7" t="str">
        <f>IFERROR(__xludf.DUMMYFUNCTION("GOOGLETRANSLATE($I1203, ""de"", ""en"")"),"NO SALARY DATA")</f>
        <v>NO SALARY DATA</v>
      </c>
      <c r="K1203" s="7" t="s">
        <v>261</v>
      </c>
      <c r="L1203" s="7" t="s">
        <v>1373</v>
      </c>
      <c r="M1203" s="7" t="s">
        <v>263</v>
      </c>
      <c r="N1203" s="7" t="s">
        <v>260</v>
      </c>
      <c r="O1203" s="7"/>
      <c r="P1203" s="37"/>
      <c r="Q1203" s="7"/>
    </row>
    <row r="1204">
      <c r="A1204" s="7">
        <v>1199.0</v>
      </c>
      <c r="B1204" s="7" t="s">
        <v>265</v>
      </c>
      <c r="C1204" s="7" t="str">
        <f>IFERROR(__xludf.DUMMYFUNCTION("GOOGLETRANSLATE($B1204, $A$2, $B$2)"),"More than 30 days ago")</f>
        <v>More than 30 days ago</v>
      </c>
      <c r="D1204" s="7" t="s">
        <v>2207</v>
      </c>
      <c r="E1204" s="7" t="s">
        <v>258</v>
      </c>
      <c r="F1204" s="7" t="s">
        <v>260</v>
      </c>
      <c r="G1204" s="7" t="s">
        <v>260</v>
      </c>
      <c r="H1204" s="7" t="s">
        <v>261</v>
      </c>
      <c r="I1204" s="7" t="s">
        <v>261</v>
      </c>
      <c r="J1204" s="7" t="str">
        <f>IFERROR(__xludf.DUMMYFUNCTION("GOOGLETRANSLATE($I1204, ""de"", ""en"")"),"NO SALARY DATA")</f>
        <v>NO SALARY DATA</v>
      </c>
      <c r="K1204" s="7" t="s">
        <v>261</v>
      </c>
      <c r="L1204" s="7" t="s">
        <v>2208</v>
      </c>
      <c r="M1204" s="7" t="s">
        <v>263</v>
      </c>
      <c r="N1204" s="7" t="s">
        <v>260</v>
      </c>
      <c r="O1204" s="7"/>
      <c r="P1204" s="37"/>
      <c r="Q1204" s="7"/>
    </row>
    <row r="1205">
      <c r="A1205" s="7">
        <v>1200.0</v>
      </c>
      <c r="B1205" s="7" t="s">
        <v>346</v>
      </c>
      <c r="C1205" s="7" t="str">
        <f>IFERROR(__xludf.DUMMYFUNCTION("GOOGLETRANSLATE($B1205, $A$2, $B$2)"),"12 days ago")</f>
        <v>12 days ago</v>
      </c>
      <c r="D1205" s="7" t="s">
        <v>2209</v>
      </c>
      <c r="E1205" s="7" t="s">
        <v>258</v>
      </c>
      <c r="F1205" s="7" t="s">
        <v>260</v>
      </c>
      <c r="G1205" s="7" t="s">
        <v>260</v>
      </c>
      <c r="H1205" s="7" t="s">
        <v>261</v>
      </c>
      <c r="I1205" s="7" t="s">
        <v>261</v>
      </c>
      <c r="J1205" s="7" t="str">
        <f>IFERROR(__xludf.DUMMYFUNCTION("GOOGLETRANSLATE($I1205, ""de"", ""en"")"),"NO SALARY DATA")</f>
        <v>NO SALARY DATA</v>
      </c>
      <c r="K1205" s="7" t="s">
        <v>261</v>
      </c>
      <c r="L1205" s="7" t="s">
        <v>2210</v>
      </c>
      <c r="M1205" s="7" t="s">
        <v>263</v>
      </c>
      <c r="N1205" s="7" t="s">
        <v>260</v>
      </c>
      <c r="O1205" s="7"/>
      <c r="P1205" s="37"/>
      <c r="Q1205" s="7"/>
    </row>
    <row r="1206">
      <c r="A1206" s="7">
        <v>1201.0</v>
      </c>
      <c r="B1206" s="7" t="s">
        <v>332</v>
      </c>
      <c r="C1206" s="7" t="str">
        <f>IFERROR(__xludf.DUMMYFUNCTION("GOOGLETRANSLATE($B1206, $A$2, $B$2)"),"4 days ago")</f>
        <v>4 days ago</v>
      </c>
      <c r="D1206" s="7" t="s">
        <v>2211</v>
      </c>
      <c r="E1206" s="7" t="s">
        <v>1273</v>
      </c>
      <c r="F1206" s="7" t="s">
        <v>260</v>
      </c>
      <c r="G1206" s="7" t="s">
        <v>260</v>
      </c>
      <c r="H1206" s="7" t="s">
        <v>261</v>
      </c>
      <c r="I1206" s="7" t="s">
        <v>261</v>
      </c>
      <c r="J1206" s="7" t="str">
        <f>IFERROR(__xludf.DUMMYFUNCTION("GOOGLETRANSLATE($I1206, ""de"", ""en"")"),"NO SALARY DATA")</f>
        <v>NO SALARY DATA</v>
      </c>
      <c r="K1206" s="7" t="s">
        <v>261</v>
      </c>
      <c r="L1206" s="7"/>
      <c r="M1206" s="7" t="s">
        <v>263</v>
      </c>
      <c r="N1206" s="7" t="s">
        <v>260</v>
      </c>
      <c r="O1206" s="7"/>
      <c r="P1206" s="37"/>
      <c r="Q1206" s="7"/>
    </row>
    <row r="1207">
      <c r="A1207" s="7">
        <v>1202.0</v>
      </c>
      <c r="B1207" s="7" t="s">
        <v>358</v>
      </c>
      <c r="C1207" s="7" t="str">
        <f>IFERROR(__xludf.DUMMYFUNCTION("GOOGLETRANSLATE($B1207, $A$2, $B$2)"),"28 days ago")</f>
        <v>28 days ago</v>
      </c>
      <c r="D1207" s="7" t="s">
        <v>2212</v>
      </c>
      <c r="E1207" s="7" t="s">
        <v>401</v>
      </c>
      <c r="F1207" s="7" t="s">
        <v>260</v>
      </c>
      <c r="G1207" s="7" t="s">
        <v>260</v>
      </c>
      <c r="H1207" s="7" t="s">
        <v>261</v>
      </c>
      <c r="I1207" s="7" t="s">
        <v>261</v>
      </c>
      <c r="J1207" s="7" t="str">
        <f>IFERROR(__xludf.DUMMYFUNCTION("GOOGLETRANSLATE($I1207, ""de"", ""en"")"),"NO SALARY DATA")</f>
        <v>NO SALARY DATA</v>
      </c>
      <c r="K1207" s="7" t="s">
        <v>261</v>
      </c>
      <c r="L1207" s="7" t="s">
        <v>423</v>
      </c>
      <c r="M1207" s="7" t="s">
        <v>263</v>
      </c>
      <c r="N1207" s="7" t="s">
        <v>260</v>
      </c>
      <c r="O1207" s="7"/>
      <c r="P1207" s="37"/>
      <c r="Q1207" s="7"/>
    </row>
    <row r="1208">
      <c r="A1208" s="7">
        <v>1203.0</v>
      </c>
      <c r="B1208" s="7" t="s">
        <v>392</v>
      </c>
      <c r="C1208" s="7" t="str">
        <f>IFERROR(__xludf.DUMMYFUNCTION("GOOGLETRANSLATE($B1208, $A$2, $B$2)"),"10 days ago")</f>
        <v>10 days ago</v>
      </c>
      <c r="D1208" s="7" t="s">
        <v>2213</v>
      </c>
      <c r="E1208" s="7" t="s">
        <v>258</v>
      </c>
      <c r="F1208" s="7" t="s">
        <v>260</v>
      </c>
      <c r="G1208" s="7" t="s">
        <v>260</v>
      </c>
      <c r="H1208" s="7" t="s">
        <v>261</v>
      </c>
      <c r="I1208" s="7" t="s">
        <v>261</v>
      </c>
      <c r="J1208" s="7" t="str">
        <f>IFERROR(__xludf.DUMMYFUNCTION("GOOGLETRANSLATE($I1208, ""de"", ""en"")"),"NO SALARY DATA")</f>
        <v>NO SALARY DATA</v>
      </c>
      <c r="K1208" s="7" t="s">
        <v>261</v>
      </c>
      <c r="L1208" s="7" t="s">
        <v>728</v>
      </c>
      <c r="M1208" s="7" t="s">
        <v>673</v>
      </c>
      <c r="N1208" s="7" t="s">
        <v>260</v>
      </c>
      <c r="O1208" s="7"/>
      <c r="P1208" s="37"/>
      <c r="Q1208" s="7"/>
    </row>
    <row r="1209">
      <c r="A1209" s="7">
        <v>1204.0</v>
      </c>
      <c r="B1209" s="7" t="s">
        <v>265</v>
      </c>
      <c r="C1209" s="7" t="str">
        <f>IFERROR(__xludf.DUMMYFUNCTION("GOOGLETRANSLATE($B1209, $A$2, $B$2)"),"More than 30 days ago")</f>
        <v>More than 30 days ago</v>
      </c>
      <c r="D1209" s="7" t="s">
        <v>2214</v>
      </c>
      <c r="E1209" s="7" t="s">
        <v>480</v>
      </c>
      <c r="F1209" s="7" t="s">
        <v>260</v>
      </c>
      <c r="G1209" s="7" t="s">
        <v>260</v>
      </c>
      <c r="H1209" s="7" t="s">
        <v>261</v>
      </c>
      <c r="I1209" s="7" t="s">
        <v>261</v>
      </c>
      <c r="J1209" s="7" t="str">
        <f>IFERROR(__xludf.DUMMYFUNCTION("GOOGLETRANSLATE($I1209, ""de"", ""en"")"),"NO SALARY DATA")</f>
        <v>NO SALARY DATA</v>
      </c>
      <c r="K1209" s="7" t="s">
        <v>261</v>
      </c>
      <c r="L1209" s="7"/>
      <c r="M1209" s="7" t="s">
        <v>263</v>
      </c>
      <c r="N1209" s="7" t="s">
        <v>260</v>
      </c>
      <c r="O1209" s="7"/>
      <c r="P1209" s="37"/>
      <c r="Q1209" s="7"/>
    </row>
    <row r="1210">
      <c r="A1210" s="7">
        <v>1205.0</v>
      </c>
      <c r="B1210" s="7" t="s">
        <v>265</v>
      </c>
      <c r="C1210" s="7" t="str">
        <f>IFERROR(__xludf.DUMMYFUNCTION("GOOGLETRANSLATE($B1210, $A$2, $B$2)"),"More than 30 days ago")</f>
        <v>More than 30 days ago</v>
      </c>
      <c r="D1210" s="7" t="s">
        <v>2215</v>
      </c>
      <c r="E1210" s="7" t="s">
        <v>271</v>
      </c>
      <c r="F1210" s="7" t="s">
        <v>260</v>
      </c>
      <c r="G1210" s="7" t="s">
        <v>260</v>
      </c>
      <c r="H1210" s="7" t="s">
        <v>261</v>
      </c>
      <c r="I1210" s="7" t="s">
        <v>261</v>
      </c>
      <c r="J1210" s="7" t="str">
        <f>IFERROR(__xludf.DUMMYFUNCTION("GOOGLETRANSLATE($I1210, ""de"", ""en"")"),"NO SALARY DATA")</f>
        <v>NO SALARY DATA</v>
      </c>
      <c r="K1210" s="7" t="s">
        <v>261</v>
      </c>
      <c r="L1210" s="7" t="s">
        <v>345</v>
      </c>
      <c r="M1210" s="7" t="s">
        <v>263</v>
      </c>
      <c r="N1210" s="7" t="s">
        <v>260</v>
      </c>
      <c r="O1210" s="7"/>
      <c r="P1210" s="37"/>
      <c r="Q1210" s="7"/>
    </row>
    <row r="1211">
      <c r="A1211" s="7">
        <v>1206.0</v>
      </c>
      <c r="B1211" s="7" t="s">
        <v>448</v>
      </c>
      <c r="C1211" s="7" t="str">
        <f>IFERROR(__xludf.DUMMYFUNCTION("GOOGLETRANSLATE($B1211, $A$2, $B$2)"),"23 days ago")</f>
        <v>23 days ago</v>
      </c>
      <c r="D1211" s="7" t="s">
        <v>2216</v>
      </c>
      <c r="E1211" s="7" t="s">
        <v>343</v>
      </c>
      <c r="F1211" s="7" t="s">
        <v>2186</v>
      </c>
      <c r="G1211" s="7" t="s">
        <v>260</v>
      </c>
      <c r="H1211" s="7" t="s">
        <v>261</v>
      </c>
      <c r="I1211" s="7" t="s">
        <v>261</v>
      </c>
      <c r="J1211" s="7" t="str">
        <f>IFERROR(__xludf.DUMMYFUNCTION("GOOGLETRANSLATE($I1211, ""de"", ""en"")"),"NO SALARY DATA")</f>
        <v>NO SALARY DATA</v>
      </c>
      <c r="K1211" s="7" t="s">
        <v>261</v>
      </c>
      <c r="L1211" s="7" t="s">
        <v>1653</v>
      </c>
      <c r="M1211" s="7" t="s">
        <v>263</v>
      </c>
      <c r="N1211" s="7" t="s">
        <v>260</v>
      </c>
      <c r="O1211" s="7"/>
      <c r="P1211" s="37"/>
      <c r="Q1211" s="7"/>
    </row>
    <row r="1212">
      <c r="A1212" s="7">
        <v>1207.0</v>
      </c>
      <c r="B1212" s="7" t="s">
        <v>269</v>
      </c>
      <c r="C1212" s="7" t="str">
        <f>IFERROR(__xludf.DUMMYFUNCTION("GOOGLETRANSLATE($B1212, $A$2, $B$2)"),"5 days ago")</f>
        <v>5 days ago</v>
      </c>
      <c r="D1212" s="7" t="s">
        <v>2217</v>
      </c>
      <c r="E1212" s="7" t="s">
        <v>368</v>
      </c>
      <c r="F1212" s="7" t="s">
        <v>260</v>
      </c>
      <c r="G1212" s="7" t="s">
        <v>260</v>
      </c>
      <c r="H1212" s="7" t="s">
        <v>261</v>
      </c>
      <c r="I1212" s="7" t="s">
        <v>261</v>
      </c>
      <c r="J1212" s="7" t="str">
        <f>IFERROR(__xludf.DUMMYFUNCTION("GOOGLETRANSLATE($I1212, ""de"", ""en"")"),"NO SALARY DATA")</f>
        <v>NO SALARY DATA</v>
      </c>
      <c r="K1212" s="7" t="s">
        <v>261</v>
      </c>
      <c r="L1212" s="7" t="s">
        <v>1487</v>
      </c>
      <c r="M1212" s="7" t="s">
        <v>263</v>
      </c>
      <c r="N1212" s="7" t="s">
        <v>260</v>
      </c>
      <c r="O1212" s="7"/>
      <c r="P1212" s="37"/>
      <c r="Q1212" s="7"/>
    </row>
    <row r="1213">
      <c r="A1213" s="7">
        <v>1208.0</v>
      </c>
      <c r="B1213" s="7" t="s">
        <v>269</v>
      </c>
      <c r="C1213" s="7" t="str">
        <f>IFERROR(__xludf.DUMMYFUNCTION("GOOGLETRANSLATE($B1213, $A$2, $B$2)"),"5 days ago")</f>
        <v>5 days ago</v>
      </c>
      <c r="D1213" s="7" t="s">
        <v>2218</v>
      </c>
      <c r="E1213" s="7" t="s">
        <v>343</v>
      </c>
      <c r="F1213" s="7" t="s">
        <v>260</v>
      </c>
      <c r="G1213" s="7" t="s">
        <v>260</v>
      </c>
      <c r="H1213" s="7" t="s">
        <v>261</v>
      </c>
      <c r="I1213" s="7" t="s">
        <v>261</v>
      </c>
      <c r="J1213" s="7" t="str">
        <f>IFERROR(__xludf.DUMMYFUNCTION("GOOGLETRANSLATE($I1213, ""de"", ""en"")"),"NO SALARY DATA")</f>
        <v>NO SALARY DATA</v>
      </c>
      <c r="K1213" s="7" t="s">
        <v>261</v>
      </c>
      <c r="L1213" s="7" t="s">
        <v>761</v>
      </c>
      <c r="M1213" s="7" t="s">
        <v>263</v>
      </c>
      <c r="N1213" s="7" t="s">
        <v>260</v>
      </c>
      <c r="O1213" s="7"/>
      <c r="P1213" s="37"/>
      <c r="Q1213" s="7"/>
    </row>
    <row r="1214">
      <c r="A1214" s="7">
        <v>1209.0</v>
      </c>
      <c r="B1214" s="7" t="s">
        <v>265</v>
      </c>
      <c r="C1214" s="7" t="str">
        <f>IFERROR(__xludf.DUMMYFUNCTION("GOOGLETRANSLATE($B1214, $A$2, $B$2)"),"More than 30 days ago")</f>
        <v>More than 30 days ago</v>
      </c>
      <c r="D1214" s="7" t="s">
        <v>2219</v>
      </c>
      <c r="E1214" s="7" t="s">
        <v>271</v>
      </c>
      <c r="F1214" s="7" t="s">
        <v>2220</v>
      </c>
      <c r="G1214" s="7" t="s">
        <v>260</v>
      </c>
      <c r="H1214" s="7" t="s">
        <v>261</v>
      </c>
      <c r="I1214" s="7" t="s">
        <v>261</v>
      </c>
      <c r="J1214" s="7" t="str">
        <f>IFERROR(__xludf.DUMMYFUNCTION("GOOGLETRANSLATE($I1214, ""de"", ""en"")"),"NO SALARY DATA")</f>
        <v>NO SALARY DATA</v>
      </c>
      <c r="K1214" s="7" t="s">
        <v>261</v>
      </c>
      <c r="L1214" s="7" t="s">
        <v>318</v>
      </c>
      <c r="M1214" s="7" t="s">
        <v>263</v>
      </c>
      <c r="N1214" s="7" t="s">
        <v>260</v>
      </c>
      <c r="O1214" s="7"/>
      <c r="P1214" s="37"/>
      <c r="Q1214" s="7"/>
    </row>
    <row r="1215">
      <c r="A1215" s="7">
        <v>1210.0</v>
      </c>
      <c r="B1215" s="7" t="s">
        <v>621</v>
      </c>
      <c r="C1215" s="7" t="str">
        <f>IFERROR(__xludf.DUMMYFUNCTION("GOOGLETRANSLATE($B1215, $A$2, $B$2)"),"20 days ago")</f>
        <v>20 days ago</v>
      </c>
      <c r="D1215" s="7" t="s">
        <v>2221</v>
      </c>
      <c r="E1215" s="7" t="s">
        <v>258</v>
      </c>
      <c r="F1215" s="7" t="s">
        <v>260</v>
      </c>
      <c r="G1215" s="7" t="s">
        <v>2222</v>
      </c>
      <c r="H1215" s="7">
        <v>550.0</v>
      </c>
      <c r="I1215" s="7" t="s">
        <v>811</v>
      </c>
      <c r="J1215" s="7" t="str">
        <f>IFERROR(__xludf.DUMMYFUNCTION("GOOGLETRANSLATE($I1215, ""de"", ""en"")"),"month")</f>
        <v>month</v>
      </c>
      <c r="K1215" s="7">
        <v>6600.0</v>
      </c>
      <c r="L1215" s="7" t="s">
        <v>1037</v>
      </c>
      <c r="M1215" s="7" t="s">
        <v>263</v>
      </c>
      <c r="N1215" s="7" t="s">
        <v>260</v>
      </c>
      <c r="O1215" s="7"/>
      <c r="P1215" s="37"/>
      <c r="Q1215" s="7"/>
    </row>
    <row r="1216">
      <c r="A1216" s="7">
        <v>1211.0</v>
      </c>
      <c r="B1216" s="7" t="s">
        <v>332</v>
      </c>
      <c r="C1216" s="7" t="str">
        <f>IFERROR(__xludf.DUMMYFUNCTION("GOOGLETRANSLATE($B1216, $A$2, $B$2)"),"4 days ago")</f>
        <v>4 days ago</v>
      </c>
      <c r="D1216" s="7" t="s">
        <v>2223</v>
      </c>
      <c r="E1216" s="7" t="s">
        <v>1824</v>
      </c>
      <c r="F1216" s="7" t="s">
        <v>260</v>
      </c>
      <c r="G1216" s="7" t="s">
        <v>260</v>
      </c>
      <c r="H1216" s="7" t="s">
        <v>261</v>
      </c>
      <c r="I1216" s="7" t="s">
        <v>261</v>
      </c>
      <c r="J1216" s="7" t="str">
        <f>IFERROR(__xludf.DUMMYFUNCTION("GOOGLETRANSLATE($I1216, ""de"", ""en"")"),"NO SALARY DATA")</f>
        <v>NO SALARY DATA</v>
      </c>
      <c r="K1216" s="7" t="s">
        <v>261</v>
      </c>
      <c r="L1216" s="7" t="s">
        <v>423</v>
      </c>
      <c r="M1216" s="7" t="s">
        <v>263</v>
      </c>
      <c r="N1216" s="7" t="s">
        <v>260</v>
      </c>
      <c r="O1216" s="7"/>
      <c r="P1216" s="37"/>
      <c r="Q1216" s="7"/>
    </row>
    <row r="1217">
      <c r="A1217" s="7">
        <v>1212.0</v>
      </c>
      <c r="B1217" s="7" t="s">
        <v>269</v>
      </c>
      <c r="C1217" s="7" t="str">
        <f>IFERROR(__xludf.DUMMYFUNCTION("GOOGLETRANSLATE($B1217, $A$2, $B$2)"),"5 days ago")</f>
        <v>5 days ago</v>
      </c>
      <c r="D1217" s="7" t="s">
        <v>2188</v>
      </c>
      <c r="E1217" s="7" t="s">
        <v>348</v>
      </c>
      <c r="F1217" s="7" t="s">
        <v>260</v>
      </c>
      <c r="G1217" s="7" t="s">
        <v>260</v>
      </c>
      <c r="H1217" s="7" t="s">
        <v>261</v>
      </c>
      <c r="I1217" s="7" t="s">
        <v>261</v>
      </c>
      <c r="J1217" s="7" t="str">
        <f>IFERROR(__xludf.DUMMYFUNCTION("GOOGLETRANSLATE($I1217, ""de"", ""en"")"),"NO SALARY DATA")</f>
        <v>NO SALARY DATA</v>
      </c>
      <c r="K1217" s="7" t="s">
        <v>261</v>
      </c>
      <c r="L1217" s="7" t="s">
        <v>782</v>
      </c>
      <c r="M1217" s="7" t="s">
        <v>263</v>
      </c>
      <c r="N1217" s="7" t="s">
        <v>260</v>
      </c>
      <c r="O1217" s="7"/>
      <c r="P1217" s="37"/>
      <c r="Q1217" s="7"/>
    </row>
    <row r="1218">
      <c r="A1218" s="7">
        <v>1213.0</v>
      </c>
      <c r="B1218" s="7" t="s">
        <v>448</v>
      </c>
      <c r="C1218" s="7" t="str">
        <f>IFERROR(__xludf.DUMMYFUNCTION("GOOGLETRANSLATE($B1218, $A$2, $B$2)"),"23 days ago")</f>
        <v>23 days ago</v>
      </c>
      <c r="D1218" s="7" t="s">
        <v>2224</v>
      </c>
      <c r="E1218" s="7" t="s">
        <v>343</v>
      </c>
      <c r="F1218" s="7" t="s">
        <v>2186</v>
      </c>
      <c r="G1218" s="7" t="s">
        <v>260</v>
      </c>
      <c r="H1218" s="7" t="s">
        <v>261</v>
      </c>
      <c r="I1218" s="7" t="s">
        <v>261</v>
      </c>
      <c r="J1218" s="7" t="str">
        <f>IFERROR(__xludf.DUMMYFUNCTION("GOOGLETRANSLATE($I1218, ""de"", ""en"")"),"NO SALARY DATA")</f>
        <v>NO SALARY DATA</v>
      </c>
      <c r="K1218" s="7" t="s">
        <v>261</v>
      </c>
      <c r="L1218" s="7" t="s">
        <v>1653</v>
      </c>
      <c r="M1218" s="7" t="s">
        <v>263</v>
      </c>
      <c r="N1218" s="7" t="s">
        <v>260</v>
      </c>
      <c r="O1218" s="7"/>
      <c r="P1218" s="37"/>
      <c r="Q1218" s="7"/>
    </row>
    <row r="1219">
      <c r="A1219" s="7">
        <v>1214.0</v>
      </c>
      <c r="B1219" s="7" t="s">
        <v>265</v>
      </c>
      <c r="C1219" s="7" t="str">
        <f>IFERROR(__xludf.DUMMYFUNCTION("GOOGLETRANSLATE($B1219, $A$2, $B$2)"),"More than 30 days ago")</f>
        <v>More than 30 days ago</v>
      </c>
      <c r="D1219" s="7" t="s">
        <v>2225</v>
      </c>
      <c r="E1219" s="7" t="s">
        <v>343</v>
      </c>
      <c r="F1219" s="7" t="s">
        <v>260</v>
      </c>
      <c r="G1219" s="7" t="s">
        <v>260</v>
      </c>
      <c r="H1219" s="7" t="s">
        <v>261</v>
      </c>
      <c r="I1219" s="7" t="s">
        <v>261</v>
      </c>
      <c r="J1219" s="7" t="str">
        <f>IFERROR(__xludf.DUMMYFUNCTION("GOOGLETRANSLATE($I1219, ""de"", ""en"")"),"NO SALARY DATA")</f>
        <v>NO SALARY DATA</v>
      </c>
      <c r="K1219" s="7" t="s">
        <v>261</v>
      </c>
      <c r="L1219" s="7" t="s">
        <v>1653</v>
      </c>
      <c r="M1219" s="7" t="s">
        <v>263</v>
      </c>
      <c r="N1219" s="7" t="s">
        <v>260</v>
      </c>
      <c r="O1219" s="7"/>
      <c r="P1219" s="37"/>
      <c r="Q1219" s="7"/>
    </row>
    <row r="1220">
      <c r="A1220" s="7">
        <v>1215.0</v>
      </c>
      <c r="B1220" s="7" t="s">
        <v>469</v>
      </c>
      <c r="C1220" s="7" t="str">
        <f>IFERROR(__xludf.DUMMYFUNCTION("GOOGLETRANSLATE($B1220, $A$2, $B$2)"),"19 days ago")</f>
        <v>19 days ago</v>
      </c>
      <c r="D1220" s="7" t="s">
        <v>2226</v>
      </c>
      <c r="E1220" s="7" t="s">
        <v>343</v>
      </c>
      <c r="F1220" s="7" t="s">
        <v>2227</v>
      </c>
      <c r="G1220" s="7" t="s">
        <v>2068</v>
      </c>
      <c r="H1220" s="7">
        <v>75000.0</v>
      </c>
      <c r="I1220" s="7" t="s">
        <v>384</v>
      </c>
      <c r="J1220" s="7" t="str">
        <f>IFERROR(__xludf.DUMMYFUNCTION("GOOGLETRANSLATE($I1220, ""de"", ""en"")"),"year")</f>
        <v>year</v>
      </c>
      <c r="K1220" s="7">
        <v>75000.0</v>
      </c>
      <c r="L1220" s="7"/>
      <c r="M1220" s="7" t="s">
        <v>263</v>
      </c>
      <c r="N1220" s="7" t="s">
        <v>260</v>
      </c>
      <c r="O1220" s="7"/>
      <c r="P1220" s="37"/>
      <c r="Q1220" s="7"/>
    </row>
    <row r="1221">
      <c r="A1221" s="7">
        <v>1216.0</v>
      </c>
      <c r="B1221" s="7" t="s">
        <v>265</v>
      </c>
      <c r="C1221" s="7" t="str">
        <f>IFERROR(__xludf.DUMMYFUNCTION("GOOGLETRANSLATE($B1221, $A$2, $B$2)"),"More than 30 days ago")</f>
        <v>More than 30 days ago</v>
      </c>
      <c r="D1221" s="7" t="s">
        <v>2206</v>
      </c>
      <c r="E1221" s="7" t="s">
        <v>271</v>
      </c>
      <c r="F1221" s="7" t="s">
        <v>260</v>
      </c>
      <c r="G1221" s="7" t="s">
        <v>260</v>
      </c>
      <c r="H1221" s="7" t="s">
        <v>261</v>
      </c>
      <c r="I1221" s="7" t="s">
        <v>261</v>
      </c>
      <c r="J1221" s="7" t="str">
        <f>IFERROR(__xludf.DUMMYFUNCTION("GOOGLETRANSLATE($I1221, ""de"", ""en"")"),"NO SALARY DATA")</f>
        <v>NO SALARY DATA</v>
      </c>
      <c r="K1221" s="7" t="s">
        <v>261</v>
      </c>
      <c r="L1221" s="7" t="s">
        <v>1373</v>
      </c>
      <c r="M1221" s="7" t="s">
        <v>263</v>
      </c>
      <c r="N1221" s="7" t="s">
        <v>260</v>
      </c>
      <c r="O1221" s="7"/>
      <c r="P1221" s="37"/>
      <c r="Q1221" s="7"/>
    </row>
    <row r="1222">
      <c r="A1222" s="7">
        <v>1217.0</v>
      </c>
      <c r="B1222" s="7" t="s">
        <v>448</v>
      </c>
      <c r="C1222" s="7" t="str">
        <f>IFERROR(__xludf.DUMMYFUNCTION("GOOGLETRANSLATE($B1222, $A$2, $B$2)"),"23 days ago")</f>
        <v>23 days ago</v>
      </c>
      <c r="D1222" s="7" t="s">
        <v>2216</v>
      </c>
      <c r="E1222" s="7" t="s">
        <v>343</v>
      </c>
      <c r="F1222" s="7" t="s">
        <v>2186</v>
      </c>
      <c r="G1222" s="7" t="s">
        <v>260</v>
      </c>
      <c r="H1222" s="7" t="s">
        <v>261</v>
      </c>
      <c r="I1222" s="7" t="s">
        <v>261</v>
      </c>
      <c r="J1222" s="7" t="str">
        <f>IFERROR(__xludf.DUMMYFUNCTION("GOOGLETRANSLATE($I1222, ""de"", ""en"")"),"NO SALARY DATA")</f>
        <v>NO SALARY DATA</v>
      </c>
      <c r="K1222" s="7" t="s">
        <v>261</v>
      </c>
      <c r="L1222" s="7" t="s">
        <v>1653</v>
      </c>
      <c r="M1222" s="7" t="s">
        <v>263</v>
      </c>
      <c r="N1222" s="7" t="s">
        <v>260</v>
      </c>
      <c r="O1222" s="7"/>
      <c r="P1222" s="37"/>
      <c r="Q1222" s="7"/>
    </row>
    <row r="1223">
      <c r="A1223" s="7">
        <v>1218.0</v>
      </c>
      <c r="B1223" s="7" t="s">
        <v>265</v>
      </c>
      <c r="C1223" s="7" t="str">
        <f>IFERROR(__xludf.DUMMYFUNCTION("GOOGLETRANSLATE($B1223, $A$2, $B$2)"),"More than 30 days ago")</f>
        <v>More than 30 days ago</v>
      </c>
      <c r="D1223" s="7" t="s">
        <v>2228</v>
      </c>
      <c r="E1223" s="7" t="s">
        <v>348</v>
      </c>
      <c r="F1223" s="7" t="s">
        <v>260</v>
      </c>
      <c r="G1223" s="7" t="s">
        <v>260</v>
      </c>
      <c r="H1223" s="7" t="s">
        <v>261</v>
      </c>
      <c r="I1223" s="7" t="s">
        <v>261</v>
      </c>
      <c r="J1223" s="7" t="str">
        <f>IFERROR(__xludf.DUMMYFUNCTION("GOOGLETRANSLATE($I1223, ""de"", ""en"")"),"NO SALARY DATA")</f>
        <v>NO SALARY DATA</v>
      </c>
      <c r="K1223" s="7" t="s">
        <v>261</v>
      </c>
      <c r="L1223" s="7"/>
      <c r="M1223" s="7" t="s">
        <v>263</v>
      </c>
      <c r="N1223" s="7" t="s">
        <v>260</v>
      </c>
      <c r="O1223" s="7"/>
      <c r="P1223" s="37"/>
      <c r="Q1223" s="7"/>
    </row>
    <row r="1224">
      <c r="A1224" s="7">
        <v>1219.0</v>
      </c>
      <c r="B1224" s="7" t="s">
        <v>265</v>
      </c>
      <c r="C1224" s="7" t="str">
        <f>IFERROR(__xludf.DUMMYFUNCTION("GOOGLETRANSLATE($B1224, $A$2, $B$2)"),"More than 30 days ago")</f>
        <v>More than 30 days ago</v>
      </c>
      <c r="D1224" s="7" t="s">
        <v>2229</v>
      </c>
      <c r="E1224" s="7" t="s">
        <v>271</v>
      </c>
      <c r="F1224" s="7" t="s">
        <v>260</v>
      </c>
      <c r="G1224" s="7" t="s">
        <v>260</v>
      </c>
      <c r="H1224" s="7" t="s">
        <v>261</v>
      </c>
      <c r="I1224" s="7" t="s">
        <v>261</v>
      </c>
      <c r="J1224" s="7" t="str">
        <f>IFERROR(__xludf.DUMMYFUNCTION("GOOGLETRANSLATE($I1224, ""de"", ""en"")"),"NO SALARY DATA")</f>
        <v>NO SALARY DATA</v>
      </c>
      <c r="K1224" s="7" t="s">
        <v>261</v>
      </c>
      <c r="L1224" s="7" t="s">
        <v>455</v>
      </c>
      <c r="M1224" s="7" t="s">
        <v>263</v>
      </c>
      <c r="N1224" s="7" t="s">
        <v>260</v>
      </c>
      <c r="O1224" s="7"/>
      <c r="P1224" s="37"/>
      <c r="Q1224" s="7"/>
    </row>
    <row r="1225">
      <c r="A1225" s="7">
        <v>1220.0</v>
      </c>
      <c r="B1225" s="7" t="s">
        <v>265</v>
      </c>
      <c r="C1225" s="7" t="str">
        <f>IFERROR(__xludf.DUMMYFUNCTION("GOOGLETRANSLATE($B1225, $A$2, $B$2)"),"More than 30 days ago")</f>
        <v>More than 30 days ago</v>
      </c>
      <c r="D1225" s="7" t="s">
        <v>2230</v>
      </c>
      <c r="E1225" s="7" t="s">
        <v>985</v>
      </c>
      <c r="F1225" s="7" t="s">
        <v>2231</v>
      </c>
      <c r="G1225" s="7" t="s">
        <v>260</v>
      </c>
      <c r="H1225" s="7" t="s">
        <v>261</v>
      </c>
      <c r="I1225" s="7" t="s">
        <v>261</v>
      </c>
      <c r="J1225" s="7" t="str">
        <f>IFERROR(__xludf.DUMMYFUNCTION("GOOGLETRANSLATE($I1225, ""de"", ""en"")"),"NO SALARY DATA")</f>
        <v>NO SALARY DATA</v>
      </c>
      <c r="K1225" s="7" t="s">
        <v>261</v>
      </c>
      <c r="L1225" s="7" t="s">
        <v>562</v>
      </c>
      <c r="M1225" s="7" t="s">
        <v>263</v>
      </c>
      <c r="N1225" s="7" t="s">
        <v>260</v>
      </c>
      <c r="O1225" s="7"/>
      <c r="P1225" s="37"/>
      <c r="Q1225" s="7"/>
    </row>
    <row r="1226">
      <c r="A1226" s="7">
        <v>1221.0</v>
      </c>
      <c r="B1226" s="7" t="s">
        <v>621</v>
      </c>
      <c r="C1226" s="7" t="str">
        <f>IFERROR(__xludf.DUMMYFUNCTION("GOOGLETRANSLATE($B1226, $A$2, $B$2)"),"20 days ago")</f>
        <v>20 days ago</v>
      </c>
      <c r="D1226" s="7" t="s">
        <v>2232</v>
      </c>
      <c r="E1226" s="7" t="s">
        <v>271</v>
      </c>
      <c r="F1226" s="7" t="s">
        <v>260</v>
      </c>
      <c r="G1226" s="7" t="s">
        <v>260</v>
      </c>
      <c r="H1226" s="7" t="s">
        <v>261</v>
      </c>
      <c r="I1226" s="7" t="s">
        <v>261</v>
      </c>
      <c r="J1226" s="7" t="str">
        <f>IFERROR(__xludf.DUMMYFUNCTION("GOOGLETRANSLATE($I1226, ""de"", ""en"")"),"NO SALARY DATA")</f>
        <v>NO SALARY DATA</v>
      </c>
      <c r="K1226" s="7" t="s">
        <v>261</v>
      </c>
      <c r="L1226" s="7"/>
      <c r="M1226" s="7" t="s">
        <v>263</v>
      </c>
      <c r="N1226" s="7" t="s">
        <v>260</v>
      </c>
      <c r="O1226" s="7"/>
      <c r="P1226" s="37"/>
      <c r="Q1226" s="7"/>
    </row>
    <row r="1227">
      <c r="A1227" s="7">
        <v>1222.0</v>
      </c>
      <c r="B1227" s="7" t="s">
        <v>332</v>
      </c>
      <c r="C1227" s="7" t="str">
        <f>IFERROR(__xludf.DUMMYFUNCTION("GOOGLETRANSLATE($B1227, $A$2, $B$2)"),"4 days ago")</f>
        <v>4 days ago</v>
      </c>
      <c r="D1227" s="7" t="s">
        <v>2233</v>
      </c>
      <c r="E1227" s="7" t="s">
        <v>343</v>
      </c>
      <c r="F1227" s="7" t="s">
        <v>2234</v>
      </c>
      <c r="G1227" s="7" t="s">
        <v>260</v>
      </c>
      <c r="H1227" s="7" t="s">
        <v>261</v>
      </c>
      <c r="I1227" s="7" t="s">
        <v>261</v>
      </c>
      <c r="J1227" s="7" t="str">
        <f>IFERROR(__xludf.DUMMYFUNCTION("GOOGLETRANSLATE($I1227, ""de"", ""en"")"),"NO SALARY DATA")</f>
        <v>NO SALARY DATA</v>
      </c>
      <c r="K1227" s="7" t="s">
        <v>261</v>
      </c>
      <c r="L1227" s="7" t="s">
        <v>1179</v>
      </c>
      <c r="M1227" s="7" t="s">
        <v>263</v>
      </c>
      <c r="N1227" s="7" t="s">
        <v>260</v>
      </c>
      <c r="O1227" s="7"/>
      <c r="P1227" s="37"/>
      <c r="Q1227" s="7"/>
    </row>
    <row r="1228">
      <c r="A1228" s="7">
        <v>1223.0</v>
      </c>
      <c r="B1228" s="7" t="s">
        <v>265</v>
      </c>
      <c r="C1228" s="7" t="str">
        <f>IFERROR(__xludf.DUMMYFUNCTION("GOOGLETRANSLATE($B1228, $A$2, $B$2)"),"More than 30 days ago")</f>
        <v>More than 30 days ago</v>
      </c>
      <c r="D1228" s="7" t="s">
        <v>2235</v>
      </c>
      <c r="E1228" s="7" t="s">
        <v>271</v>
      </c>
      <c r="F1228" s="7" t="s">
        <v>260</v>
      </c>
      <c r="G1228" s="7" t="s">
        <v>260</v>
      </c>
      <c r="H1228" s="7" t="s">
        <v>261</v>
      </c>
      <c r="I1228" s="7" t="s">
        <v>261</v>
      </c>
      <c r="J1228" s="7" t="str">
        <f>IFERROR(__xludf.DUMMYFUNCTION("GOOGLETRANSLATE($I1228, ""de"", ""en"")"),"NO SALARY DATA")</f>
        <v>NO SALARY DATA</v>
      </c>
      <c r="K1228" s="7" t="s">
        <v>261</v>
      </c>
      <c r="L1228" s="7" t="s">
        <v>2236</v>
      </c>
      <c r="M1228" s="7" t="s">
        <v>673</v>
      </c>
      <c r="N1228" s="7" t="s">
        <v>260</v>
      </c>
      <c r="O1228" s="7"/>
      <c r="P1228" s="37"/>
      <c r="Q1228" s="7"/>
    </row>
    <row r="1229">
      <c r="A1229" s="7">
        <v>1224.0</v>
      </c>
      <c r="B1229" s="7" t="s">
        <v>448</v>
      </c>
      <c r="C1229" s="7" t="str">
        <f>IFERROR(__xludf.DUMMYFUNCTION("GOOGLETRANSLATE($B1229, $A$2, $B$2)"),"23 days ago")</f>
        <v>23 days ago</v>
      </c>
      <c r="D1229" s="7" t="s">
        <v>2224</v>
      </c>
      <c r="E1229" s="7" t="s">
        <v>343</v>
      </c>
      <c r="F1229" s="7" t="s">
        <v>2186</v>
      </c>
      <c r="G1229" s="7" t="s">
        <v>260</v>
      </c>
      <c r="H1229" s="7" t="s">
        <v>261</v>
      </c>
      <c r="I1229" s="7" t="s">
        <v>261</v>
      </c>
      <c r="J1229" s="7" t="str">
        <f>IFERROR(__xludf.DUMMYFUNCTION("GOOGLETRANSLATE($I1229, ""de"", ""en"")"),"NO SALARY DATA")</f>
        <v>NO SALARY DATA</v>
      </c>
      <c r="K1229" s="7" t="s">
        <v>261</v>
      </c>
      <c r="L1229" s="7" t="s">
        <v>1653</v>
      </c>
      <c r="M1229" s="7" t="s">
        <v>263</v>
      </c>
      <c r="N1229" s="7" t="s">
        <v>260</v>
      </c>
      <c r="O1229" s="7"/>
      <c r="P1229" s="37"/>
      <c r="Q1229" s="7"/>
    </row>
    <row r="1230">
      <c r="A1230" s="7">
        <v>1225.0</v>
      </c>
      <c r="B1230" s="7" t="s">
        <v>332</v>
      </c>
      <c r="C1230" s="7" t="str">
        <f>IFERROR(__xludf.DUMMYFUNCTION("GOOGLETRANSLATE($B1230, $A$2, $B$2)"),"4 days ago")</f>
        <v>4 days ago</v>
      </c>
      <c r="D1230" s="7" t="s">
        <v>2223</v>
      </c>
      <c r="E1230" s="7" t="s">
        <v>1824</v>
      </c>
      <c r="F1230" s="7" t="s">
        <v>260</v>
      </c>
      <c r="G1230" s="7" t="s">
        <v>260</v>
      </c>
      <c r="H1230" s="7" t="s">
        <v>261</v>
      </c>
      <c r="I1230" s="7" t="s">
        <v>261</v>
      </c>
      <c r="J1230" s="7" t="str">
        <f>IFERROR(__xludf.DUMMYFUNCTION("GOOGLETRANSLATE($I1230, ""de"", ""en"")"),"NO SALARY DATA")</f>
        <v>NO SALARY DATA</v>
      </c>
      <c r="K1230" s="7" t="s">
        <v>261</v>
      </c>
      <c r="L1230" s="7" t="s">
        <v>423</v>
      </c>
      <c r="M1230" s="7" t="s">
        <v>263</v>
      </c>
      <c r="N1230" s="7" t="s">
        <v>260</v>
      </c>
      <c r="O1230" s="7"/>
      <c r="P1230" s="35"/>
      <c r="Q1230" s="7"/>
    </row>
    <row r="1231">
      <c r="A1231" s="7">
        <v>1226.0</v>
      </c>
      <c r="B1231" s="7" t="s">
        <v>265</v>
      </c>
      <c r="C1231" s="7" t="str">
        <f>IFERROR(__xludf.DUMMYFUNCTION("GOOGLETRANSLATE($B1231, $A$2, $B$2)"),"More than 30 days ago")</f>
        <v>More than 30 days ago</v>
      </c>
      <c r="D1231" s="7" t="s">
        <v>2237</v>
      </c>
      <c r="E1231" s="7" t="s">
        <v>2238</v>
      </c>
      <c r="F1231" s="7" t="s">
        <v>2239</v>
      </c>
      <c r="G1231" s="7" t="s">
        <v>260</v>
      </c>
      <c r="H1231" s="7" t="s">
        <v>261</v>
      </c>
      <c r="I1231" s="7" t="s">
        <v>261</v>
      </c>
      <c r="J1231" s="7" t="str">
        <f>IFERROR(__xludf.DUMMYFUNCTION("GOOGLETRANSLATE($I1231, ""de"", ""en"")"),"NO SALARY DATA")</f>
        <v>NO SALARY DATA</v>
      </c>
      <c r="K1231" s="7" t="s">
        <v>261</v>
      </c>
      <c r="L1231" s="7" t="s">
        <v>562</v>
      </c>
      <c r="M1231" s="7" t="s">
        <v>263</v>
      </c>
      <c r="N1231" s="7" t="s">
        <v>473</v>
      </c>
      <c r="O1231" s="7"/>
      <c r="P1231" s="37"/>
      <c r="Q1231" s="7"/>
    </row>
    <row r="1232">
      <c r="A1232" s="7">
        <v>1227.0</v>
      </c>
      <c r="B1232" s="7" t="s">
        <v>265</v>
      </c>
      <c r="C1232" s="7" t="str">
        <f>IFERROR(__xludf.DUMMYFUNCTION("GOOGLETRANSLATE($B1232, $A$2, $B$2)"),"More than 30 days ago")</f>
        <v>More than 30 days ago</v>
      </c>
      <c r="D1232" s="7" t="s">
        <v>2240</v>
      </c>
      <c r="E1232" s="7" t="s">
        <v>258</v>
      </c>
      <c r="F1232" s="7" t="s">
        <v>260</v>
      </c>
      <c r="G1232" s="7" t="s">
        <v>260</v>
      </c>
      <c r="H1232" s="7" t="s">
        <v>261</v>
      </c>
      <c r="I1232" s="7" t="s">
        <v>261</v>
      </c>
      <c r="J1232" s="7" t="str">
        <f>IFERROR(__xludf.DUMMYFUNCTION("GOOGLETRANSLATE($I1232, ""de"", ""en"")"),"NO SALARY DATA")</f>
        <v>NO SALARY DATA</v>
      </c>
      <c r="K1232" s="7" t="s">
        <v>261</v>
      </c>
      <c r="L1232" s="7"/>
      <c r="M1232" s="7" t="s">
        <v>263</v>
      </c>
      <c r="N1232" s="7" t="s">
        <v>260</v>
      </c>
      <c r="O1232" s="7"/>
      <c r="P1232" s="35"/>
      <c r="Q1232" s="7"/>
    </row>
    <row r="1233">
      <c r="A1233" s="7">
        <v>1228.0</v>
      </c>
      <c r="B1233" s="7" t="s">
        <v>265</v>
      </c>
      <c r="C1233" s="7" t="str">
        <f>IFERROR(__xludf.DUMMYFUNCTION("GOOGLETRANSLATE($B1233, $A$2, $B$2)"),"More than 30 days ago")</f>
        <v>More than 30 days ago</v>
      </c>
      <c r="D1233" s="7" t="s">
        <v>2237</v>
      </c>
      <c r="E1233" s="7" t="s">
        <v>993</v>
      </c>
      <c r="F1233" s="7" t="s">
        <v>2239</v>
      </c>
      <c r="G1233" s="7" t="s">
        <v>260</v>
      </c>
      <c r="H1233" s="7" t="s">
        <v>261</v>
      </c>
      <c r="I1233" s="7" t="s">
        <v>261</v>
      </c>
      <c r="J1233" s="7" t="str">
        <f>IFERROR(__xludf.DUMMYFUNCTION("GOOGLETRANSLATE($I1233, ""de"", ""en"")"),"NO SALARY DATA")</f>
        <v>NO SALARY DATA</v>
      </c>
      <c r="K1233" s="7" t="s">
        <v>261</v>
      </c>
      <c r="L1233" s="7" t="s">
        <v>562</v>
      </c>
      <c r="M1233" s="7" t="s">
        <v>263</v>
      </c>
      <c r="N1233" s="7" t="s">
        <v>473</v>
      </c>
      <c r="O1233" s="7"/>
      <c r="P1233" s="37"/>
      <c r="Q1233" s="7"/>
    </row>
    <row r="1234">
      <c r="A1234" s="7">
        <v>1229.0</v>
      </c>
      <c r="B1234" s="7" t="s">
        <v>265</v>
      </c>
      <c r="C1234" s="7" t="str">
        <f>IFERROR(__xludf.DUMMYFUNCTION("GOOGLETRANSLATE($B1234, $A$2, $B$2)"),"More than 30 days ago")</f>
        <v>More than 30 days ago</v>
      </c>
      <c r="D1234" s="7" t="s">
        <v>2241</v>
      </c>
      <c r="E1234" s="7" t="s">
        <v>271</v>
      </c>
      <c r="F1234" s="7" t="s">
        <v>260</v>
      </c>
      <c r="G1234" s="7" t="s">
        <v>260</v>
      </c>
      <c r="H1234" s="7" t="s">
        <v>261</v>
      </c>
      <c r="I1234" s="7" t="s">
        <v>261</v>
      </c>
      <c r="J1234" s="7" t="str">
        <f>IFERROR(__xludf.DUMMYFUNCTION("GOOGLETRANSLATE($I1234, ""de"", ""en"")"),"NO SALARY DATA")</f>
        <v>NO SALARY DATA</v>
      </c>
      <c r="K1234" s="7" t="s">
        <v>261</v>
      </c>
      <c r="L1234" s="7" t="s">
        <v>345</v>
      </c>
      <c r="M1234" s="7" t="s">
        <v>263</v>
      </c>
      <c r="N1234" s="7" t="s">
        <v>260</v>
      </c>
      <c r="O1234" s="7"/>
      <c r="P1234" s="37"/>
      <c r="Q1234" s="7"/>
    </row>
    <row r="1235">
      <c r="A1235" s="7">
        <v>1230.0</v>
      </c>
      <c r="B1235" s="7" t="s">
        <v>265</v>
      </c>
      <c r="C1235" s="7" t="str">
        <f>IFERROR(__xludf.DUMMYFUNCTION("GOOGLETRANSLATE($B1235, $A$2, $B$2)"),"More than 30 days ago")</f>
        <v>More than 30 days ago</v>
      </c>
      <c r="D1235" s="7" t="s">
        <v>2242</v>
      </c>
      <c r="E1235" s="7" t="s">
        <v>480</v>
      </c>
      <c r="F1235" s="7" t="s">
        <v>260</v>
      </c>
      <c r="G1235" s="7" t="s">
        <v>260</v>
      </c>
      <c r="H1235" s="7" t="s">
        <v>261</v>
      </c>
      <c r="I1235" s="7" t="s">
        <v>261</v>
      </c>
      <c r="J1235" s="7" t="str">
        <f>IFERROR(__xludf.DUMMYFUNCTION("GOOGLETRANSLATE($I1235, ""de"", ""en"")"),"NO SALARY DATA")</f>
        <v>NO SALARY DATA</v>
      </c>
      <c r="K1235" s="7" t="s">
        <v>261</v>
      </c>
      <c r="L1235" s="7"/>
      <c r="M1235" s="7" t="s">
        <v>263</v>
      </c>
      <c r="N1235" s="7" t="s">
        <v>260</v>
      </c>
      <c r="O1235" s="7"/>
      <c r="P1235" s="37"/>
      <c r="Q1235" s="7"/>
    </row>
    <row r="1236">
      <c r="A1236" s="7">
        <v>1231.0</v>
      </c>
      <c r="B1236" s="7" t="s">
        <v>265</v>
      </c>
      <c r="C1236" s="7" t="str">
        <f>IFERROR(__xludf.DUMMYFUNCTION("GOOGLETRANSLATE($B1236, $A$2, $B$2)"),"More than 30 days ago")</f>
        <v>More than 30 days ago</v>
      </c>
      <c r="D1236" s="7" t="s">
        <v>2243</v>
      </c>
      <c r="E1236" s="7" t="s">
        <v>271</v>
      </c>
      <c r="F1236" s="7" t="s">
        <v>260</v>
      </c>
      <c r="G1236" s="7" t="s">
        <v>260</v>
      </c>
      <c r="H1236" s="7" t="s">
        <v>261</v>
      </c>
      <c r="I1236" s="7" t="s">
        <v>261</v>
      </c>
      <c r="J1236" s="7" t="str">
        <f>IFERROR(__xludf.DUMMYFUNCTION("GOOGLETRANSLATE($I1236, ""de"", ""en"")"),"NO SALARY DATA")</f>
        <v>NO SALARY DATA</v>
      </c>
      <c r="K1236" s="7" t="s">
        <v>261</v>
      </c>
      <c r="L1236" s="7"/>
      <c r="M1236" s="7" t="s">
        <v>263</v>
      </c>
      <c r="N1236" s="7" t="s">
        <v>260</v>
      </c>
      <c r="O1236" s="7"/>
      <c r="P1236" s="37"/>
      <c r="Q1236" s="7"/>
    </row>
    <row r="1237">
      <c r="A1237" s="7">
        <v>1232.0</v>
      </c>
      <c r="B1237" s="7" t="s">
        <v>265</v>
      </c>
      <c r="C1237" s="7" t="str">
        <f>IFERROR(__xludf.DUMMYFUNCTION("GOOGLETRANSLATE($B1237, $A$2, $B$2)"),"More than 30 days ago")</f>
        <v>More than 30 days ago</v>
      </c>
      <c r="D1237" s="7" t="s">
        <v>2244</v>
      </c>
      <c r="E1237" s="7" t="s">
        <v>2202</v>
      </c>
      <c r="F1237" s="7" t="s">
        <v>260</v>
      </c>
      <c r="G1237" s="7" t="s">
        <v>260</v>
      </c>
      <c r="H1237" s="7" t="s">
        <v>261</v>
      </c>
      <c r="I1237" s="7" t="s">
        <v>261</v>
      </c>
      <c r="J1237" s="7" t="str">
        <f>IFERROR(__xludf.DUMMYFUNCTION("GOOGLETRANSLATE($I1237, ""de"", ""en"")"),"NO SALARY DATA")</f>
        <v>NO SALARY DATA</v>
      </c>
      <c r="K1237" s="7" t="s">
        <v>261</v>
      </c>
      <c r="L1237" s="7" t="s">
        <v>423</v>
      </c>
      <c r="M1237" s="7" t="s">
        <v>263</v>
      </c>
      <c r="N1237" s="7" t="s">
        <v>260</v>
      </c>
      <c r="O1237" s="7"/>
      <c r="P1237" s="37"/>
      <c r="Q1237" s="7"/>
    </row>
    <row r="1238">
      <c r="A1238" s="7">
        <v>1233.0</v>
      </c>
      <c r="B1238" s="7" t="s">
        <v>265</v>
      </c>
      <c r="C1238" s="7" t="str">
        <f>IFERROR(__xludf.DUMMYFUNCTION("GOOGLETRANSLATE($B1238, $A$2, $B$2)"),"More than 30 days ago")</f>
        <v>More than 30 days ago</v>
      </c>
      <c r="D1238" s="7" t="s">
        <v>2245</v>
      </c>
      <c r="E1238" s="7" t="s">
        <v>548</v>
      </c>
      <c r="F1238" s="7" t="s">
        <v>260</v>
      </c>
      <c r="G1238" s="7" t="s">
        <v>260</v>
      </c>
      <c r="H1238" s="7" t="s">
        <v>261</v>
      </c>
      <c r="I1238" s="7" t="s">
        <v>261</v>
      </c>
      <c r="J1238" s="7" t="str">
        <f>IFERROR(__xludf.DUMMYFUNCTION("GOOGLETRANSLATE($I1238, ""de"", ""en"")"),"NO SALARY DATA")</f>
        <v>NO SALARY DATA</v>
      </c>
      <c r="K1238" s="7" t="s">
        <v>261</v>
      </c>
      <c r="L1238" s="7" t="s">
        <v>286</v>
      </c>
      <c r="M1238" s="7" t="s">
        <v>263</v>
      </c>
      <c r="N1238" s="7" t="s">
        <v>260</v>
      </c>
      <c r="O1238" s="7"/>
      <c r="P1238" s="37"/>
      <c r="Q1238" s="7"/>
    </row>
    <row r="1239">
      <c r="A1239" s="7">
        <v>1234.0</v>
      </c>
      <c r="B1239" s="7" t="s">
        <v>265</v>
      </c>
      <c r="C1239" s="7" t="str">
        <f>IFERROR(__xludf.DUMMYFUNCTION("GOOGLETRANSLATE($B1239, $A$2, $B$2)"),"More than 30 days ago")</f>
        <v>More than 30 days ago</v>
      </c>
      <c r="D1239" s="7" t="s">
        <v>2246</v>
      </c>
      <c r="E1239" s="7" t="s">
        <v>480</v>
      </c>
      <c r="F1239" s="7" t="s">
        <v>260</v>
      </c>
      <c r="G1239" s="7" t="s">
        <v>260</v>
      </c>
      <c r="H1239" s="7" t="s">
        <v>261</v>
      </c>
      <c r="I1239" s="7" t="s">
        <v>261</v>
      </c>
      <c r="J1239" s="7" t="str">
        <f>IFERROR(__xludf.DUMMYFUNCTION("GOOGLETRANSLATE($I1239, ""de"", ""en"")"),"NO SALARY DATA")</f>
        <v>NO SALARY DATA</v>
      </c>
      <c r="K1239" s="7" t="s">
        <v>261</v>
      </c>
      <c r="L1239" s="7"/>
      <c r="M1239" s="7" t="s">
        <v>263</v>
      </c>
      <c r="N1239" s="7" t="s">
        <v>260</v>
      </c>
      <c r="O1239" s="7"/>
      <c r="P1239" s="37"/>
      <c r="Q1239" s="7"/>
    </row>
    <row r="1240">
      <c r="A1240" s="7">
        <v>1235.0</v>
      </c>
      <c r="B1240" s="7" t="s">
        <v>265</v>
      </c>
      <c r="C1240" s="7" t="str">
        <f>IFERROR(__xludf.DUMMYFUNCTION("GOOGLETRANSLATE($B1240, $A$2, $B$2)"),"More than 30 days ago")</f>
        <v>More than 30 days ago</v>
      </c>
      <c r="D1240" s="7" t="s">
        <v>2247</v>
      </c>
      <c r="E1240" s="7" t="s">
        <v>401</v>
      </c>
      <c r="F1240" s="7" t="s">
        <v>260</v>
      </c>
      <c r="G1240" s="7" t="s">
        <v>260</v>
      </c>
      <c r="H1240" s="7" t="s">
        <v>261</v>
      </c>
      <c r="I1240" s="7" t="s">
        <v>261</v>
      </c>
      <c r="J1240" s="7" t="str">
        <f>IFERROR(__xludf.DUMMYFUNCTION("GOOGLETRANSLATE($I1240, ""de"", ""en"")"),"NO SALARY DATA")</f>
        <v>NO SALARY DATA</v>
      </c>
      <c r="K1240" s="7" t="s">
        <v>261</v>
      </c>
      <c r="L1240" s="7"/>
      <c r="M1240" s="7" t="s">
        <v>263</v>
      </c>
      <c r="N1240" s="7" t="s">
        <v>260</v>
      </c>
      <c r="O1240" s="7"/>
      <c r="P1240" s="37"/>
      <c r="Q1240" s="7"/>
    </row>
    <row r="1241">
      <c r="A1241" s="7">
        <v>1236.0</v>
      </c>
      <c r="B1241" s="7" t="s">
        <v>269</v>
      </c>
      <c r="C1241" s="7" t="str">
        <f>IFERROR(__xludf.DUMMYFUNCTION("GOOGLETRANSLATE($B1241, $A$2, $B$2)"),"5 days ago")</f>
        <v>5 days ago</v>
      </c>
      <c r="D1241" s="7" t="s">
        <v>2217</v>
      </c>
      <c r="E1241" s="7" t="s">
        <v>368</v>
      </c>
      <c r="F1241" s="7" t="s">
        <v>260</v>
      </c>
      <c r="G1241" s="7" t="s">
        <v>260</v>
      </c>
      <c r="H1241" s="7" t="s">
        <v>261</v>
      </c>
      <c r="I1241" s="7" t="s">
        <v>261</v>
      </c>
      <c r="J1241" s="7" t="str">
        <f>IFERROR(__xludf.DUMMYFUNCTION("GOOGLETRANSLATE($I1241, ""de"", ""en"")"),"NO SALARY DATA")</f>
        <v>NO SALARY DATA</v>
      </c>
      <c r="K1241" s="7" t="s">
        <v>261</v>
      </c>
      <c r="L1241" s="7" t="s">
        <v>1487</v>
      </c>
      <c r="M1241" s="7" t="s">
        <v>263</v>
      </c>
      <c r="N1241" s="7" t="s">
        <v>260</v>
      </c>
      <c r="O1241" s="7"/>
      <c r="P1241" s="37"/>
      <c r="Q1241" s="7"/>
    </row>
    <row r="1242">
      <c r="A1242" s="7">
        <v>1237.0</v>
      </c>
      <c r="B1242" s="7" t="s">
        <v>265</v>
      </c>
      <c r="C1242" s="7" t="str">
        <f>IFERROR(__xludf.DUMMYFUNCTION("GOOGLETRANSLATE($B1242, $A$2, $B$2)"),"More than 30 days ago")</f>
        <v>More than 30 days ago</v>
      </c>
      <c r="D1242" s="7" t="s">
        <v>2248</v>
      </c>
      <c r="E1242" s="7" t="s">
        <v>271</v>
      </c>
      <c r="F1242" s="7" t="s">
        <v>260</v>
      </c>
      <c r="G1242" s="7" t="s">
        <v>260</v>
      </c>
      <c r="H1242" s="7" t="s">
        <v>261</v>
      </c>
      <c r="I1242" s="7" t="s">
        <v>261</v>
      </c>
      <c r="J1242" s="7" t="str">
        <f>IFERROR(__xludf.DUMMYFUNCTION("GOOGLETRANSLATE($I1242, ""de"", ""en"")"),"NO SALARY DATA")</f>
        <v>NO SALARY DATA</v>
      </c>
      <c r="K1242" s="7" t="s">
        <v>261</v>
      </c>
      <c r="L1242" s="7"/>
      <c r="M1242" s="7" t="s">
        <v>263</v>
      </c>
      <c r="N1242" s="7" t="s">
        <v>260</v>
      </c>
      <c r="O1242" s="7"/>
      <c r="P1242" s="37"/>
      <c r="Q1242" s="7"/>
    </row>
    <row r="1243">
      <c r="A1243" s="7">
        <v>1238.0</v>
      </c>
      <c r="B1243" s="7" t="s">
        <v>442</v>
      </c>
      <c r="C1243" s="7" t="str">
        <f>IFERROR(__xludf.DUMMYFUNCTION("GOOGLETRANSLATE($B1243, $A$2, $B$2)"),"26 days ago")</f>
        <v>26 days ago</v>
      </c>
      <c r="D1243" s="7" t="s">
        <v>1120</v>
      </c>
      <c r="E1243" s="7" t="s">
        <v>1121</v>
      </c>
      <c r="F1243" s="7" t="s">
        <v>1122</v>
      </c>
      <c r="G1243" s="7" t="s">
        <v>260</v>
      </c>
      <c r="H1243" s="7" t="s">
        <v>261</v>
      </c>
      <c r="I1243" s="7" t="s">
        <v>261</v>
      </c>
      <c r="J1243" s="7" t="str">
        <f>IFERROR(__xludf.DUMMYFUNCTION("GOOGLETRANSLATE($I1243, ""de"", ""en"")"),"NO SALARY DATA")</f>
        <v>NO SALARY DATA</v>
      </c>
      <c r="K1243" s="7" t="s">
        <v>261</v>
      </c>
      <c r="L1243" s="7" t="s">
        <v>455</v>
      </c>
      <c r="M1243" s="7" t="s">
        <v>263</v>
      </c>
      <c r="N1243" s="7" t="s">
        <v>260</v>
      </c>
      <c r="O1243" s="7"/>
      <c r="P1243" s="37"/>
      <c r="Q1243" s="7"/>
    </row>
    <row r="1244">
      <c r="A1244" s="7">
        <v>1239.0</v>
      </c>
      <c r="B1244" s="7" t="s">
        <v>559</v>
      </c>
      <c r="C1244" s="7" t="str">
        <f>IFERROR(__xludf.DUMMYFUNCTION("GOOGLETRANSLATE($B1244, $A$2, $B$2)"),"18 days ago")</f>
        <v>18 days ago</v>
      </c>
      <c r="D1244" s="7" t="s">
        <v>2249</v>
      </c>
      <c r="E1244" s="7" t="s">
        <v>401</v>
      </c>
      <c r="F1244" s="7" t="s">
        <v>260</v>
      </c>
      <c r="G1244" s="7" t="s">
        <v>260</v>
      </c>
      <c r="H1244" s="7" t="s">
        <v>261</v>
      </c>
      <c r="I1244" s="7" t="s">
        <v>261</v>
      </c>
      <c r="J1244" s="7" t="str">
        <f>IFERROR(__xludf.DUMMYFUNCTION("GOOGLETRANSLATE($I1244, ""de"", ""en"")"),"NO SALARY DATA")</f>
        <v>NO SALARY DATA</v>
      </c>
      <c r="K1244" s="7" t="s">
        <v>261</v>
      </c>
      <c r="L1244" s="7"/>
      <c r="M1244" s="7" t="s">
        <v>263</v>
      </c>
      <c r="N1244" s="7" t="s">
        <v>260</v>
      </c>
      <c r="O1244" s="7"/>
      <c r="P1244" s="37"/>
      <c r="Q1244" s="7"/>
    </row>
    <row r="1245">
      <c r="A1245" s="7">
        <v>1240.0</v>
      </c>
      <c r="B1245" s="7" t="s">
        <v>892</v>
      </c>
      <c r="C1245" s="7" t="str">
        <f>IFERROR(__xludf.DUMMYFUNCTION("GOOGLETRANSLATE($B1245, $A$2, $B$2)"),"25 days ago")</f>
        <v>25 days ago</v>
      </c>
      <c r="D1245" s="7" t="s">
        <v>2250</v>
      </c>
      <c r="E1245" s="7" t="s">
        <v>348</v>
      </c>
      <c r="F1245" s="7" t="s">
        <v>260</v>
      </c>
      <c r="G1245" s="7" t="s">
        <v>260</v>
      </c>
      <c r="H1245" s="7" t="s">
        <v>261</v>
      </c>
      <c r="I1245" s="7" t="s">
        <v>261</v>
      </c>
      <c r="J1245" s="7" t="str">
        <f>IFERROR(__xludf.DUMMYFUNCTION("GOOGLETRANSLATE($I1245, ""de"", ""en"")"),"NO SALARY DATA")</f>
        <v>NO SALARY DATA</v>
      </c>
      <c r="K1245" s="7" t="s">
        <v>261</v>
      </c>
      <c r="L1245" s="7" t="s">
        <v>423</v>
      </c>
      <c r="M1245" s="7" t="s">
        <v>263</v>
      </c>
      <c r="N1245" s="7" t="s">
        <v>260</v>
      </c>
      <c r="O1245" s="7"/>
      <c r="P1245" s="37"/>
      <c r="Q1245" s="7"/>
    </row>
    <row r="1246">
      <c r="A1246" s="7">
        <v>1241.0</v>
      </c>
      <c r="B1246" s="7" t="s">
        <v>265</v>
      </c>
      <c r="C1246" s="7" t="str">
        <f>IFERROR(__xludf.DUMMYFUNCTION("GOOGLETRANSLATE($B1246, $A$2, $B$2)"),"More than 30 days ago")</f>
        <v>More than 30 days ago</v>
      </c>
      <c r="D1246" s="7" t="s">
        <v>2215</v>
      </c>
      <c r="E1246" s="7" t="s">
        <v>271</v>
      </c>
      <c r="F1246" s="7" t="s">
        <v>260</v>
      </c>
      <c r="G1246" s="7" t="s">
        <v>260</v>
      </c>
      <c r="H1246" s="7" t="s">
        <v>261</v>
      </c>
      <c r="I1246" s="7" t="s">
        <v>261</v>
      </c>
      <c r="J1246" s="7" t="str">
        <f>IFERROR(__xludf.DUMMYFUNCTION("GOOGLETRANSLATE($I1246, ""de"", ""en"")"),"NO SALARY DATA")</f>
        <v>NO SALARY DATA</v>
      </c>
      <c r="K1246" s="7" t="s">
        <v>261</v>
      </c>
      <c r="L1246" s="7" t="s">
        <v>345</v>
      </c>
      <c r="M1246" s="7" t="s">
        <v>263</v>
      </c>
      <c r="N1246" s="7" t="s">
        <v>260</v>
      </c>
      <c r="O1246" s="7"/>
      <c r="P1246" s="37"/>
      <c r="Q1246" s="7"/>
    </row>
    <row r="1247">
      <c r="A1247" s="7">
        <v>1242.0</v>
      </c>
      <c r="B1247" s="7" t="s">
        <v>371</v>
      </c>
      <c r="C1247" s="7" t="str">
        <f>IFERROR(__xludf.DUMMYFUNCTION("GOOGLETRANSLATE($B1247, $A$2, $B$2)"),"Straight")</f>
        <v>Straight</v>
      </c>
      <c r="D1247" s="7" t="s">
        <v>2251</v>
      </c>
      <c r="E1247" s="7" t="s">
        <v>683</v>
      </c>
      <c r="F1247" s="7" t="s">
        <v>260</v>
      </c>
      <c r="G1247" s="7" t="s">
        <v>260</v>
      </c>
      <c r="H1247" s="7" t="s">
        <v>261</v>
      </c>
      <c r="I1247" s="7" t="s">
        <v>261</v>
      </c>
      <c r="J1247" s="7" t="str">
        <f>IFERROR(__xludf.DUMMYFUNCTION("GOOGLETRANSLATE($I1247, ""de"", ""en"")"),"NO SALARY DATA")</f>
        <v>NO SALARY DATA</v>
      </c>
      <c r="K1247" s="7" t="s">
        <v>261</v>
      </c>
      <c r="L1247" s="7" t="s">
        <v>312</v>
      </c>
      <c r="M1247" s="7" t="s">
        <v>263</v>
      </c>
      <c r="N1247" s="7" t="s">
        <v>260</v>
      </c>
      <c r="O1247" s="7"/>
      <c r="P1247" s="37"/>
      <c r="Q1247" s="7"/>
    </row>
    <row r="1248">
      <c r="A1248" s="7">
        <v>1243.0</v>
      </c>
      <c r="B1248" s="7" t="s">
        <v>637</v>
      </c>
      <c r="C1248" s="7" t="str">
        <f>IFERROR(__xludf.DUMMYFUNCTION("GOOGLETRANSLATE($B1248, $A$2, $B$2)"),"17 days ago")</f>
        <v>17 days ago</v>
      </c>
      <c r="D1248" s="7" t="s">
        <v>2252</v>
      </c>
      <c r="E1248" s="7" t="s">
        <v>401</v>
      </c>
      <c r="F1248" s="7" t="s">
        <v>260</v>
      </c>
      <c r="G1248" s="7" t="s">
        <v>260</v>
      </c>
      <c r="H1248" s="7" t="s">
        <v>261</v>
      </c>
      <c r="I1248" s="7" t="s">
        <v>261</v>
      </c>
      <c r="J1248" s="7" t="str">
        <f>IFERROR(__xludf.DUMMYFUNCTION("GOOGLETRANSLATE($I1248, ""de"", ""en"")"),"NO SALARY DATA")</f>
        <v>NO SALARY DATA</v>
      </c>
      <c r="K1248" s="7" t="s">
        <v>261</v>
      </c>
      <c r="L1248" s="7"/>
      <c r="M1248" s="7" t="s">
        <v>263</v>
      </c>
      <c r="N1248" s="7" t="s">
        <v>260</v>
      </c>
      <c r="O1248" s="7"/>
      <c r="P1248" s="37"/>
      <c r="Q1248" s="7"/>
    </row>
    <row r="1249">
      <c r="A1249" s="7">
        <v>1244.0</v>
      </c>
      <c r="B1249" s="7" t="s">
        <v>265</v>
      </c>
      <c r="C1249" s="7" t="str">
        <f>IFERROR(__xludf.DUMMYFUNCTION("GOOGLETRANSLATE($B1249, $A$2, $B$2)"),"More than 30 days ago")</f>
        <v>More than 30 days ago</v>
      </c>
      <c r="D1249" s="7" t="s">
        <v>2253</v>
      </c>
      <c r="E1249" s="7" t="s">
        <v>417</v>
      </c>
      <c r="F1249" s="7" t="s">
        <v>260</v>
      </c>
      <c r="G1249" s="7" t="s">
        <v>260</v>
      </c>
      <c r="H1249" s="7" t="s">
        <v>261</v>
      </c>
      <c r="I1249" s="7" t="s">
        <v>261</v>
      </c>
      <c r="J1249" s="7" t="str">
        <f>IFERROR(__xludf.DUMMYFUNCTION("GOOGLETRANSLATE($I1249, ""de"", ""en"")"),"NO SALARY DATA")</f>
        <v>NO SALARY DATA</v>
      </c>
      <c r="K1249" s="7" t="s">
        <v>261</v>
      </c>
      <c r="L1249" s="7"/>
      <c r="M1249" s="7" t="s">
        <v>263</v>
      </c>
      <c r="N1249" s="7" t="s">
        <v>260</v>
      </c>
      <c r="O1249" s="7"/>
      <c r="P1249" s="37"/>
      <c r="Q1249" s="7"/>
    </row>
    <row r="1250">
      <c r="A1250" s="7">
        <v>1245.0</v>
      </c>
      <c r="B1250" s="7" t="s">
        <v>375</v>
      </c>
      <c r="C1250" s="7" t="str">
        <f>IFERROR(__xludf.DUMMYFUNCTION("GOOGLETRANSLATE($B1250, $A$2, $B$2)"),"6 days ago")</f>
        <v>6 days ago</v>
      </c>
      <c r="D1250" s="7" t="s">
        <v>2254</v>
      </c>
      <c r="E1250" s="7" t="s">
        <v>343</v>
      </c>
      <c r="F1250" s="7" t="s">
        <v>2227</v>
      </c>
      <c r="G1250" s="7" t="s">
        <v>2255</v>
      </c>
      <c r="H1250" s="7">
        <v>85000.0</v>
      </c>
      <c r="I1250" s="7" t="s">
        <v>384</v>
      </c>
      <c r="J1250" s="7" t="str">
        <f>IFERROR(__xludf.DUMMYFUNCTION("GOOGLETRANSLATE($I1250, ""de"", ""en"")"),"year")</f>
        <v>year</v>
      </c>
      <c r="K1250" s="7">
        <v>85000.0</v>
      </c>
      <c r="L1250" s="7" t="s">
        <v>777</v>
      </c>
      <c r="M1250" s="7" t="s">
        <v>263</v>
      </c>
      <c r="N1250" s="7" t="s">
        <v>260</v>
      </c>
      <c r="O1250" s="7"/>
      <c r="P1250" s="35"/>
      <c r="Q1250" s="7"/>
    </row>
    <row r="1251">
      <c r="A1251" s="7">
        <v>1246.0</v>
      </c>
      <c r="B1251" s="7" t="s">
        <v>265</v>
      </c>
      <c r="C1251" s="7" t="str">
        <f>IFERROR(__xludf.DUMMYFUNCTION("GOOGLETRANSLATE($B1251, $A$2, $B$2)"),"More than 30 days ago")</f>
        <v>More than 30 days ago</v>
      </c>
      <c r="D1251" s="7" t="s">
        <v>2256</v>
      </c>
      <c r="E1251" s="7" t="s">
        <v>2238</v>
      </c>
      <c r="F1251" s="7" t="s">
        <v>2239</v>
      </c>
      <c r="G1251" s="7" t="s">
        <v>260</v>
      </c>
      <c r="H1251" s="7" t="s">
        <v>261</v>
      </c>
      <c r="I1251" s="7" t="s">
        <v>261</v>
      </c>
      <c r="J1251" s="7" t="str">
        <f>IFERROR(__xludf.DUMMYFUNCTION("GOOGLETRANSLATE($I1251, ""de"", ""en"")"),"NO SALARY DATA")</f>
        <v>NO SALARY DATA</v>
      </c>
      <c r="K1251" s="7" t="s">
        <v>261</v>
      </c>
      <c r="L1251" s="7" t="s">
        <v>562</v>
      </c>
      <c r="M1251" s="7" t="s">
        <v>263</v>
      </c>
      <c r="N1251" s="7" t="s">
        <v>473</v>
      </c>
      <c r="O1251" s="7"/>
      <c r="P1251" s="37"/>
      <c r="Q1251" s="7"/>
    </row>
    <row r="1252">
      <c r="A1252" s="7">
        <v>1247.0</v>
      </c>
      <c r="B1252" s="7" t="s">
        <v>442</v>
      </c>
      <c r="C1252" s="7" t="str">
        <f>IFERROR(__xludf.DUMMYFUNCTION("GOOGLETRANSLATE($B1252, $A$2, $B$2)"),"26 days ago")</f>
        <v>26 days ago</v>
      </c>
      <c r="D1252" s="7" t="s">
        <v>2257</v>
      </c>
      <c r="E1252" s="7" t="s">
        <v>258</v>
      </c>
      <c r="F1252" s="7" t="s">
        <v>260</v>
      </c>
      <c r="G1252" s="7" t="s">
        <v>260</v>
      </c>
      <c r="H1252" s="7" t="s">
        <v>261</v>
      </c>
      <c r="I1252" s="7" t="s">
        <v>261</v>
      </c>
      <c r="J1252" s="7" t="str">
        <f>IFERROR(__xludf.DUMMYFUNCTION("GOOGLETRANSLATE($I1252, ""de"", ""en"")"),"NO SALARY DATA")</f>
        <v>NO SALARY DATA</v>
      </c>
      <c r="K1252" s="7" t="s">
        <v>261</v>
      </c>
      <c r="L1252" s="7"/>
      <c r="M1252" s="7" t="s">
        <v>263</v>
      </c>
      <c r="N1252" s="7" t="s">
        <v>260</v>
      </c>
      <c r="O1252" s="7"/>
      <c r="P1252" s="37"/>
      <c r="Q1252" s="7"/>
    </row>
    <row r="1253">
      <c r="A1253" s="7">
        <v>1248.0</v>
      </c>
      <c r="B1253" s="7" t="s">
        <v>341</v>
      </c>
      <c r="C1253" s="7" t="str">
        <f>IFERROR(__xludf.DUMMYFUNCTION("GOOGLETRANSLATE($B1253, $A$2, $B$2)"),"before 14 days")</f>
        <v>before 14 days</v>
      </c>
      <c r="D1253" s="7" t="s">
        <v>2258</v>
      </c>
      <c r="E1253" s="7" t="s">
        <v>271</v>
      </c>
      <c r="F1253" s="7" t="s">
        <v>260</v>
      </c>
      <c r="G1253" s="7" t="s">
        <v>260</v>
      </c>
      <c r="H1253" s="7" t="s">
        <v>261</v>
      </c>
      <c r="I1253" s="7" t="s">
        <v>261</v>
      </c>
      <c r="J1253" s="7" t="str">
        <f>IFERROR(__xludf.DUMMYFUNCTION("GOOGLETRANSLATE($I1253, ""de"", ""en"")"),"NO SALARY DATA")</f>
        <v>NO SALARY DATA</v>
      </c>
      <c r="K1253" s="7" t="s">
        <v>261</v>
      </c>
      <c r="L1253" s="7" t="s">
        <v>2259</v>
      </c>
      <c r="M1253" s="7" t="s">
        <v>263</v>
      </c>
      <c r="N1253" s="7" t="s">
        <v>260</v>
      </c>
      <c r="O1253" s="7"/>
      <c r="P1253" s="37"/>
      <c r="Q1253" s="7"/>
    </row>
    <row r="1254">
      <c r="A1254" s="7">
        <v>1249.0</v>
      </c>
      <c r="B1254" s="7" t="s">
        <v>332</v>
      </c>
      <c r="C1254" s="7" t="str">
        <f>IFERROR(__xludf.DUMMYFUNCTION("GOOGLETRANSLATE($B1254, $A$2, $B$2)"),"4 days ago")</f>
        <v>4 days ago</v>
      </c>
      <c r="D1254" s="7" t="s">
        <v>2260</v>
      </c>
      <c r="E1254" s="7" t="s">
        <v>408</v>
      </c>
      <c r="F1254" s="7" t="s">
        <v>260</v>
      </c>
      <c r="G1254" s="7" t="s">
        <v>260</v>
      </c>
      <c r="H1254" s="7" t="s">
        <v>261</v>
      </c>
      <c r="I1254" s="7" t="s">
        <v>261</v>
      </c>
      <c r="J1254" s="7" t="str">
        <f>IFERROR(__xludf.DUMMYFUNCTION("GOOGLETRANSLATE($I1254, ""de"", ""en"")"),"NO SALARY DATA")</f>
        <v>NO SALARY DATA</v>
      </c>
      <c r="K1254" s="7" t="s">
        <v>261</v>
      </c>
      <c r="L1254" s="7"/>
      <c r="M1254" s="7" t="s">
        <v>263</v>
      </c>
      <c r="N1254" s="7" t="s">
        <v>260</v>
      </c>
      <c r="O1254" s="7"/>
      <c r="P1254" s="37"/>
      <c r="Q1254" s="7"/>
    </row>
    <row r="1255">
      <c r="A1255" s="7">
        <v>1250.0</v>
      </c>
      <c r="B1255" s="7" t="s">
        <v>269</v>
      </c>
      <c r="C1255" s="7" t="str">
        <f>IFERROR(__xludf.DUMMYFUNCTION("GOOGLETRANSLATE($B1255, $A$2, $B$2)"),"5 days ago")</f>
        <v>5 days ago</v>
      </c>
      <c r="D1255" s="7" t="s">
        <v>2261</v>
      </c>
      <c r="E1255" s="7" t="s">
        <v>683</v>
      </c>
      <c r="F1255" s="7" t="s">
        <v>260</v>
      </c>
      <c r="G1255" s="7" t="s">
        <v>260</v>
      </c>
      <c r="H1255" s="7" t="s">
        <v>261</v>
      </c>
      <c r="I1255" s="7" t="s">
        <v>261</v>
      </c>
      <c r="J1255" s="7" t="str">
        <f>IFERROR(__xludf.DUMMYFUNCTION("GOOGLETRANSLATE($I1255, ""de"", ""en"")"),"NO SALARY DATA")</f>
        <v>NO SALARY DATA</v>
      </c>
      <c r="K1255" s="7" t="s">
        <v>261</v>
      </c>
      <c r="L1255" s="7" t="s">
        <v>777</v>
      </c>
      <c r="M1255" s="7" t="s">
        <v>263</v>
      </c>
      <c r="N1255" s="7" t="s">
        <v>260</v>
      </c>
      <c r="O1255" s="7"/>
      <c r="P1255" s="37"/>
      <c r="Q1255" s="7"/>
    </row>
    <row r="1256">
      <c r="A1256" s="7">
        <v>1251.0</v>
      </c>
      <c r="B1256" s="7" t="s">
        <v>448</v>
      </c>
      <c r="C1256" s="7" t="str">
        <f>IFERROR(__xludf.DUMMYFUNCTION("GOOGLETRANSLATE($B1256, $A$2, $B$2)"),"23 days ago")</f>
        <v>23 days ago</v>
      </c>
      <c r="D1256" s="7" t="s">
        <v>2262</v>
      </c>
      <c r="E1256" s="7" t="s">
        <v>343</v>
      </c>
      <c r="F1256" s="7" t="s">
        <v>2186</v>
      </c>
      <c r="G1256" s="7" t="s">
        <v>260</v>
      </c>
      <c r="H1256" s="7" t="s">
        <v>261</v>
      </c>
      <c r="I1256" s="7" t="s">
        <v>261</v>
      </c>
      <c r="J1256" s="7" t="str">
        <f>IFERROR(__xludf.DUMMYFUNCTION("GOOGLETRANSLATE($I1256, ""de"", ""en"")"),"NO SALARY DATA")</f>
        <v>NO SALARY DATA</v>
      </c>
      <c r="K1256" s="7" t="s">
        <v>261</v>
      </c>
      <c r="L1256" s="7" t="s">
        <v>1653</v>
      </c>
      <c r="M1256" s="7" t="s">
        <v>263</v>
      </c>
      <c r="N1256" s="7" t="s">
        <v>260</v>
      </c>
      <c r="O1256" s="7"/>
      <c r="P1256" s="37"/>
      <c r="Q1256" s="7"/>
    </row>
    <row r="1257">
      <c r="A1257" s="7">
        <v>1252.0</v>
      </c>
      <c r="B1257" s="7" t="s">
        <v>265</v>
      </c>
      <c r="C1257" s="7" t="str">
        <f>IFERROR(__xludf.DUMMYFUNCTION("GOOGLETRANSLATE($B1257, $A$2, $B$2)"),"More than 30 days ago")</f>
        <v>More than 30 days ago</v>
      </c>
      <c r="D1257" s="7" t="s">
        <v>2263</v>
      </c>
      <c r="E1257" s="7" t="s">
        <v>405</v>
      </c>
      <c r="F1257" s="7" t="s">
        <v>260</v>
      </c>
      <c r="G1257" s="7" t="s">
        <v>260</v>
      </c>
      <c r="H1257" s="7" t="s">
        <v>261</v>
      </c>
      <c r="I1257" s="7" t="s">
        <v>261</v>
      </c>
      <c r="J1257" s="7" t="str">
        <f>IFERROR(__xludf.DUMMYFUNCTION("GOOGLETRANSLATE($I1257, ""de"", ""en"")"),"NO SALARY DATA")</f>
        <v>NO SALARY DATA</v>
      </c>
      <c r="K1257" s="7" t="s">
        <v>261</v>
      </c>
      <c r="L1257" s="7" t="s">
        <v>423</v>
      </c>
      <c r="M1257" s="7" t="s">
        <v>263</v>
      </c>
      <c r="N1257" s="7" t="s">
        <v>260</v>
      </c>
      <c r="O1257" s="7"/>
      <c r="P1257" s="37"/>
      <c r="Q1257" s="7"/>
    </row>
    <row r="1258">
      <c r="A1258" s="7">
        <v>1253.0</v>
      </c>
      <c r="B1258" s="7" t="s">
        <v>448</v>
      </c>
      <c r="C1258" s="7" t="str">
        <f>IFERROR(__xludf.DUMMYFUNCTION("GOOGLETRANSLATE($B1258, $A$2, $B$2)"),"23 days ago")</f>
        <v>23 days ago</v>
      </c>
      <c r="D1258" s="7" t="s">
        <v>2264</v>
      </c>
      <c r="E1258" s="7" t="s">
        <v>343</v>
      </c>
      <c r="F1258" s="7" t="s">
        <v>2186</v>
      </c>
      <c r="G1258" s="7" t="s">
        <v>260</v>
      </c>
      <c r="H1258" s="7" t="s">
        <v>261</v>
      </c>
      <c r="I1258" s="7" t="s">
        <v>261</v>
      </c>
      <c r="J1258" s="7" t="str">
        <f>IFERROR(__xludf.DUMMYFUNCTION("GOOGLETRANSLATE($I1258, ""de"", ""en"")"),"NO SALARY DATA")</f>
        <v>NO SALARY DATA</v>
      </c>
      <c r="K1258" s="7" t="s">
        <v>261</v>
      </c>
      <c r="L1258" s="7" t="s">
        <v>1653</v>
      </c>
      <c r="M1258" s="7" t="s">
        <v>263</v>
      </c>
      <c r="N1258" s="7" t="s">
        <v>260</v>
      </c>
      <c r="O1258" s="7"/>
      <c r="P1258" s="37"/>
      <c r="Q1258" s="7"/>
    </row>
    <row r="1259">
      <c r="A1259" s="7">
        <v>1254.0</v>
      </c>
      <c r="B1259" s="7" t="s">
        <v>265</v>
      </c>
      <c r="C1259" s="7" t="str">
        <f>IFERROR(__xludf.DUMMYFUNCTION("GOOGLETRANSLATE($B1259, $A$2, $B$2)"),"More than 30 days ago")</f>
        <v>More than 30 days ago</v>
      </c>
      <c r="D1259" s="7" t="s">
        <v>2248</v>
      </c>
      <c r="E1259" s="7" t="s">
        <v>271</v>
      </c>
      <c r="F1259" s="7" t="s">
        <v>260</v>
      </c>
      <c r="G1259" s="7" t="s">
        <v>260</v>
      </c>
      <c r="H1259" s="7" t="s">
        <v>261</v>
      </c>
      <c r="I1259" s="7" t="s">
        <v>261</v>
      </c>
      <c r="J1259" s="7" t="str">
        <f>IFERROR(__xludf.DUMMYFUNCTION("GOOGLETRANSLATE($I1259, ""de"", ""en"")"),"NO SALARY DATA")</f>
        <v>NO SALARY DATA</v>
      </c>
      <c r="K1259" s="7" t="s">
        <v>261</v>
      </c>
      <c r="L1259" s="7"/>
      <c r="M1259" s="7" t="s">
        <v>263</v>
      </c>
      <c r="N1259" s="7" t="s">
        <v>260</v>
      </c>
      <c r="O1259" s="7"/>
      <c r="P1259" s="37"/>
      <c r="Q1259" s="7"/>
    </row>
    <row r="1260">
      <c r="A1260" s="7">
        <v>1255.0</v>
      </c>
      <c r="B1260" s="7" t="s">
        <v>375</v>
      </c>
      <c r="C1260" s="7" t="str">
        <f>IFERROR(__xludf.DUMMYFUNCTION("GOOGLETRANSLATE($B1260, $A$2, $B$2)"),"6 days ago")</f>
        <v>6 days ago</v>
      </c>
      <c r="D1260" s="7" t="s">
        <v>2265</v>
      </c>
      <c r="E1260" s="7" t="s">
        <v>343</v>
      </c>
      <c r="F1260" s="7" t="s">
        <v>2195</v>
      </c>
      <c r="G1260" s="7" t="s">
        <v>260</v>
      </c>
      <c r="H1260" s="7" t="s">
        <v>261</v>
      </c>
      <c r="I1260" s="7" t="s">
        <v>261</v>
      </c>
      <c r="J1260" s="7" t="str">
        <f>IFERROR(__xludf.DUMMYFUNCTION("GOOGLETRANSLATE($I1260, ""de"", ""en"")"),"NO SALARY DATA")</f>
        <v>NO SALARY DATA</v>
      </c>
      <c r="K1260" s="7" t="s">
        <v>261</v>
      </c>
      <c r="L1260" s="7" t="s">
        <v>398</v>
      </c>
      <c r="M1260" s="7" t="s">
        <v>263</v>
      </c>
      <c r="N1260" s="7" t="s">
        <v>260</v>
      </c>
      <c r="O1260" s="7"/>
      <c r="P1260" s="37"/>
      <c r="Q1260" s="7"/>
    </row>
    <row r="1261">
      <c r="A1261" s="7">
        <v>1256.0</v>
      </c>
      <c r="B1261" s="7" t="s">
        <v>265</v>
      </c>
      <c r="C1261" s="7" t="str">
        <f>IFERROR(__xludf.DUMMYFUNCTION("GOOGLETRANSLATE($B1261, $A$2, $B$2)"),"More than 30 days ago")</f>
        <v>More than 30 days ago</v>
      </c>
      <c r="D1261" s="7" t="s">
        <v>2266</v>
      </c>
      <c r="E1261" s="7" t="s">
        <v>2267</v>
      </c>
      <c r="F1261" s="7" t="s">
        <v>260</v>
      </c>
      <c r="G1261" s="7" t="s">
        <v>260</v>
      </c>
      <c r="H1261" s="7" t="s">
        <v>261</v>
      </c>
      <c r="I1261" s="7" t="s">
        <v>261</v>
      </c>
      <c r="J1261" s="7" t="str">
        <f>IFERROR(__xludf.DUMMYFUNCTION("GOOGLETRANSLATE($I1261, ""de"", ""en"")"),"NO SALARY DATA")</f>
        <v>NO SALARY DATA</v>
      </c>
      <c r="K1261" s="7" t="s">
        <v>261</v>
      </c>
      <c r="L1261" s="7" t="s">
        <v>627</v>
      </c>
      <c r="M1261" s="7" t="s">
        <v>263</v>
      </c>
      <c r="N1261" s="7" t="s">
        <v>260</v>
      </c>
      <c r="O1261" s="7"/>
      <c r="P1261" s="37"/>
      <c r="Q1261" s="7"/>
    </row>
    <row r="1262">
      <c r="A1262" s="7">
        <v>1257.0</v>
      </c>
      <c r="B1262" s="7" t="s">
        <v>346</v>
      </c>
      <c r="C1262" s="7" t="str">
        <f>IFERROR(__xludf.DUMMYFUNCTION("GOOGLETRANSLATE($B1262, $A$2, $B$2)"),"12 days ago")</f>
        <v>12 days ago</v>
      </c>
      <c r="D1262" s="7" t="s">
        <v>2268</v>
      </c>
      <c r="E1262" s="7" t="s">
        <v>2269</v>
      </c>
      <c r="F1262" s="7" t="s">
        <v>260</v>
      </c>
      <c r="G1262" s="7" t="s">
        <v>260</v>
      </c>
      <c r="H1262" s="7" t="s">
        <v>261</v>
      </c>
      <c r="I1262" s="7" t="s">
        <v>261</v>
      </c>
      <c r="J1262" s="7" t="str">
        <f>IFERROR(__xludf.DUMMYFUNCTION("GOOGLETRANSLATE($I1262, ""de"", ""en"")"),"NO SALARY DATA")</f>
        <v>NO SALARY DATA</v>
      </c>
      <c r="K1262" s="7" t="s">
        <v>261</v>
      </c>
      <c r="L1262" s="7" t="s">
        <v>1373</v>
      </c>
      <c r="M1262" s="7" t="s">
        <v>263</v>
      </c>
      <c r="N1262" s="7" t="s">
        <v>260</v>
      </c>
      <c r="O1262" s="7"/>
      <c r="P1262" s="37"/>
      <c r="Q1262" s="7"/>
    </row>
    <row r="1263">
      <c r="A1263" s="7">
        <v>1258.0</v>
      </c>
      <c r="B1263" s="7" t="s">
        <v>265</v>
      </c>
      <c r="C1263" s="7" t="str">
        <f>IFERROR(__xludf.DUMMYFUNCTION("GOOGLETRANSLATE($B1263, $A$2, $B$2)"),"More than 30 days ago")</f>
        <v>More than 30 days ago</v>
      </c>
      <c r="D1263" s="7" t="s">
        <v>2270</v>
      </c>
      <c r="E1263" s="7" t="s">
        <v>280</v>
      </c>
      <c r="F1263" s="7" t="s">
        <v>260</v>
      </c>
      <c r="G1263" s="7" t="s">
        <v>260</v>
      </c>
      <c r="H1263" s="7" t="s">
        <v>261</v>
      </c>
      <c r="I1263" s="7" t="s">
        <v>261</v>
      </c>
      <c r="J1263" s="7" t="str">
        <f>IFERROR(__xludf.DUMMYFUNCTION("GOOGLETRANSLATE($I1263, ""de"", ""en"")"),"NO SALARY DATA")</f>
        <v>NO SALARY DATA</v>
      </c>
      <c r="K1263" s="7" t="s">
        <v>261</v>
      </c>
      <c r="L1263" s="7"/>
      <c r="M1263" s="7" t="s">
        <v>263</v>
      </c>
      <c r="N1263" s="7" t="s">
        <v>260</v>
      </c>
      <c r="O1263" s="7"/>
      <c r="P1263" s="37"/>
      <c r="Q1263" s="7"/>
    </row>
    <row r="1264">
      <c r="A1264" s="7">
        <v>1259.0</v>
      </c>
      <c r="B1264" s="7" t="s">
        <v>256</v>
      </c>
      <c r="C1264" s="7" t="str">
        <f>IFERROR(__xludf.DUMMYFUNCTION("GOOGLETRANSLATE($B1264, $A$2, $B$2)"),"7 days ago")</f>
        <v>7 days ago</v>
      </c>
      <c r="D1264" s="7" t="s">
        <v>2271</v>
      </c>
      <c r="E1264" s="7" t="s">
        <v>271</v>
      </c>
      <c r="F1264" s="7" t="s">
        <v>260</v>
      </c>
      <c r="G1264" s="7" t="s">
        <v>260</v>
      </c>
      <c r="H1264" s="7" t="s">
        <v>261</v>
      </c>
      <c r="I1264" s="7" t="s">
        <v>261</v>
      </c>
      <c r="J1264" s="7" t="str">
        <f>IFERROR(__xludf.DUMMYFUNCTION("GOOGLETRANSLATE($I1264, ""de"", ""en"")"),"NO SALARY DATA")</f>
        <v>NO SALARY DATA</v>
      </c>
      <c r="K1264" s="7" t="s">
        <v>261</v>
      </c>
      <c r="L1264" s="7" t="s">
        <v>627</v>
      </c>
      <c r="M1264" s="7" t="s">
        <v>673</v>
      </c>
      <c r="N1264" s="7" t="s">
        <v>260</v>
      </c>
      <c r="O1264" s="7"/>
      <c r="P1264" s="37"/>
      <c r="Q1264" s="7"/>
    </row>
    <row r="1265">
      <c r="A1265" s="7">
        <v>1260.0</v>
      </c>
      <c r="B1265" s="7" t="s">
        <v>469</v>
      </c>
      <c r="C1265" s="7" t="str">
        <f>IFERROR(__xludf.DUMMYFUNCTION("GOOGLETRANSLATE($B1265, $A$2, $B$2)"),"19 days ago")</f>
        <v>19 days ago</v>
      </c>
      <c r="D1265" s="7" t="s">
        <v>2226</v>
      </c>
      <c r="E1265" s="7" t="s">
        <v>343</v>
      </c>
      <c r="F1265" s="7" t="s">
        <v>2227</v>
      </c>
      <c r="G1265" s="7" t="s">
        <v>2068</v>
      </c>
      <c r="H1265" s="7">
        <v>75000.0</v>
      </c>
      <c r="I1265" s="7" t="s">
        <v>384</v>
      </c>
      <c r="J1265" s="7" t="str">
        <f>IFERROR(__xludf.DUMMYFUNCTION("GOOGLETRANSLATE($I1265, ""de"", ""en"")"),"year")</f>
        <v>year</v>
      </c>
      <c r="K1265" s="7">
        <v>75000.0</v>
      </c>
      <c r="L1265" s="7"/>
      <c r="M1265" s="7" t="s">
        <v>263</v>
      </c>
      <c r="N1265" s="7" t="s">
        <v>260</v>
      </c>
      <c r="O1265" s="7"/>
      <c r="P1265" s="37"/>
      <c r="Q1265" s="7"/>
    </row>
    <row r="1266">
      <c r="A1266" s="7">
        <v>1261.0</v>
      </c>
      <c r="B1266" s="7" t="s">
        <v>302</v>
      </c>
      <c r="C1266" s="7" t="str">
        <f>IFERROR(__xludf.DUMMYFUNCTION("GOOGLETRANSLATE($B1266, $A$2, $B$2)"),"today")</f>
        <v>today</v>
      </c>
      <c r="D1266" s="7" t="s">
        <v>2272</v>
      </c>
      <c r="E1266" s="7" t="s">
        <v>343</v>
      </c>
      <c r="F1266" s="7" t="s">
        <v>2273</v>
      </c>
      <c r="G1266" s="7" t="s">
        <v>260</v>
      </c>
      <c r="H1266" s="7" t="s">
        <v>261</v>
      </c>
      <c r="I1266" s="7" t="s">
        <v>261</v>
      </c>
      <c r="J1266" s="7" t="str">
        <f>IFERROR(__xludf.DUMMYFUNCTION("GOOGLETRANSLATE($I1266, ""de"", ""en"")"),"NO SALARY DATA")</f>
        <v>NO SALARY DATA</v>
      </c>
      <c r="K1266" s="7" t="s">
        <v>261</v>
      </c>
      <c r="L1266" s="7" t="s">
        <v>777</v>
      </c>
      <c r="M1266" s="7" t="s">
        <v>673</v>
      </c>
      <c r="N1266" s="7" t="s">
        <v>260</v>
      </c>
      <c r="O1266" s="7"/>
      <c r="P1266" s="37"/>
      <c r="Q1266" s="7"/>
    </row>
    <row r="1267">
      <c r="A1267" s="7">
        <v>1262.0</v>
      </c>
      <c r="B1267" s="7" t="s">
        <v>650</v>
      </c>
      <c r="C1267" s="7" t="str">
        <f>IFERROR(__xludf.DUMMYFUNCTION("GOOGLETRANSLATE($B1267, $A$2, $B$2)"),"16 days ago")</f>
        <v>16 days ago</v>
      </c>
      <c r="D1267" s="7" t="s">
        <v>2272</v>
      </c>
      <c r="E1267" s="7" t="s">
        <v>343</v>
      </c>
      <c r="F1267" s="7" t="s">
        <v>2274</v>
      </c>
      <c r="G1267" s="7" t="s">
        <v>2275</v>
      </c>
      <c r="H1267" s="7">
        <v>65.0</v>
      </c>
      <c r="I1267" s="7" t="s">
        <v>388</v>
      </c>
      <c r="J1267" s="7" t="str">
        <f>IFERROR(__xludf.DUMMYFUNCTION("GOOGLETRANSLATE($I1267, ""de"", ""en"")"),"hour")</f>
        <v>hour</v>
      </c>
      <c r="K1267" s="7">
        <v>137280.0</v>
      </c>
      <c r="L1267" s="7" t="s">
        <v>777</v>
      </c>
      <c r="M1267" s="7" t="s">
        <v>263</v>
      </c>
      <c r="N1267" s="7" t="s">
        <v>260</v>
      </c>
      <c r="O1267" s="7"/>
      <c r="P1267" s="35"/>
      <c r="Q1267" s="7"/>
    </row>
    <row r="1268">
      <c r="A1268" s="7">
        <v>1263.0</v>
      </c>
      <c r="B1268" s="7" t="s">
        <v>533</v>
      </c>
      <c r="C1268" s="7" t="str">
        <f>IFERROR(__xludf.DUMMYFUNCTION("GOOGLETRANSLATE($B1268, $A$2, $B$2)"),"11 days ago")</f>
        <v>11 days ago</v>
      </c>
      <c r="D1268" s="7" t="s">
        <v>2276</v>
      </c>
      <c r="E1268" s="7" t="s">
        <v>343</v>
      </c>
      <c r="F1268" s="7" t="s">
        <v>2277</v>
      </c>
      <c r="G1268" s="7" t="s">
        <v>260</v>
      </c>
      <c r="H1268" s="7" t="s">
        <v>261</v>
      </c>
      <c r="I1268" s="7" t="s">
        <v>261</v>
      </c>
      <c r="J1268" s="7" t="str">
        <f>IFERROR(__xludf.DUMMYFUNCTION("GOOGLETRANSLATE($I1268, ""de"", ""en"")"),"NO SALARY DATA")</f>
        <v>NO SALARY DATA</v>
      </c>
      <c r="K1268" s="7" t="s">
        <v>261</v>
      </c>
      <c r="L1268" s="7"/>
      <c r="M1268" s="7" t="s">
        <v>414</v>
      </c>
      <c r="N1268" s="7" t="s">
        <v>340</v>
      </c>
      <c r="O1268" s="7"/>
      <c r="P1268" s="37"/>
      <c r="Q1268" s="7"/>
    </row>
    <row r="1269">
      <c r="A1269" s="7">
        <v>1264.0</v>
      </c>
      <c r="B1269" s="7" t="s">
        <v>265</v>
      </c>
      <c r="C1269" s="7" t="str">
        <f>IFERROR(__xludf.DUMMYFUNCTION("GOOGLETRANSLATE($B1269, $A$2, $B$2)"),"More than 30 days ago")</f>
        <v>More than 30 days ago</v>
      </c>
      <c r="D1269" s="7" t="s">
        <v>2225</v>
      </c>
      <c r="E1269" s="7" t="s">
        <v>343</v>
      </c>
      <c r="F1269" s="7" t="s">
        <v>260</v>
      </c>
      <c r="G1269" s="7" t="s">
        <v>260</v>
      </c>
      <c r="H1269" s="7" t="s">
        <v>261</v>
      </c>
      <c r="I1269" s="7" t="s">
        <v>261</v>
      </c>
      <c r="J1269" s="7" t="str">
        <f>IFERROR(__xludf.DUMMYFUNCTION("GOOGLETRANSLATE($I1269, ""de"", ""en"")"),"NO SALARY DATA")</f>
        <v>NO SALARY DATA</v>
      </c>
      <c r="K1269" s="7" t="s">
        <v>261</v>
      </c>
      <c r="L1269" s="7" t="s">
        <v>1653</v>
      </c>
      <c r="M1269" s="7" t="s">
        <v>263</v>
      </c>
      <c r="N1269" s="7" t="s">
        <v>260</v>
      </c>
      <c r="O1269" s="7"/>
      <c r="P1269" s="37"/>
      <c r="Q1269" s="7"/>
    </row>
    <row r="1270">
      <c r="A1270" s="7">
        <v>1265.0</v>
      </c>
      <c r="B1270" s="7" t="s">
        <v>371</v>
      </c>
      <c r="C1270" s="7" t="str">
        <f>IFERROR(__xludf.DUMMYFUNCTION("GOOGLETRANSLATE($B1270, $A$2, $B$2)"),"Straight")</f>
        <v>Straight</v>
      </c>
      <c r="D1270" s="7" t="s">
        <v>2278</v>
      </c>
      <c r="E1270" s="7" t="s">
        <v>343</v>
      </c>
      <c r="F1270" s="7" t="s">
        <v>260</v>
      </c>
      <c r="G1270" s="7" t="s">
        <v>260</v>
      </c>
      <c r="H1270" s="7" t="s">
        <v>261</v>
      </c>
      <c r="I1270" s="7" t="s">
        <v>261</v>
      </c>
      <c r="J1270" s="7" t="str">
        <f>IFERROR(__xludf.DUMMYFUNCTION("GOOGLETRANSLATE($I1270, ""de"", ""en"")"),"NO SALARY DATA")</f>
        <v>NO SALARY DATA</v>
      </c>
      <c r="K1270" s="7" t="s">
        <v>261</v>
      </c>
      <c r="L1270" s="7"/>
      <c r="M1270" s="7" t="s">
        <v>263</v>
      </c>
      <c r="N1270" s="7" t="s">
        <v>260</v>
      </c>
      <c r="O1270" s="7"/>
      <c r="P1270" s="37"/>
      <c r="Q1270" s="7"/>
    </row>
    <row r="1271">
      <c r="A1271" s="7">
        <v>1266.0</v>
      </c>
      <c r="B1271" s="7" t="s">
        <v>371</v>
      </c>
      <c r="C1271" s="7" t="str">
        <f>IFERROR(__xludf.DUMMYFUNCTION("GOOGLETRANSLATE($B1271, $A$2, $B$2)"),"Straight")</f>
        <v>Straight</v>
      </c>
      <c r="D1271" s="7" t="s">
        <v>2279</v>
      </c>
      <c r="E1271" s="7" t="s">
        <v>401</v>
      </c>
      <c r="F1271" s="7" t="s">
        <v>260</v>
      </c>
      <c r="G1271" s="7" t="s">
        <v>260</v>
      </c>
      <c r="H1271" s="7" t="s">
        <v>261</v>
      </c>
      <c r="I1271" s="7" t="s">
        <v>261</v>
      </c>
      <c r="J1271" s="7" t="str">
        <f>IFERROR(__xludf.DUMMYFUNCTION("GOOGLETRANSLATE($I1271, ""de"", ""en"")"),"NO SALARY DATA")</f>
        <v>NO SALARY DATA</v>
      </c>
      <c r="K1271" s="7" t="s">
        <v>261</v>
      </c>
      <c r="L1271" s="7" t="s">
        <v>423</v>
      </c>
      <c r="M1271" s="7" t="s">
        <v>263</v>
      </c>
      <c r="N1271" s="7" t="s">
        <v>260</v>
      </c>
      <c r="O1271" s="7"/>
      <c r="P1271" s="37"/>
      <c r="Q1271" s="7"/>
    </row>
    <row r="1272">
      <c r="A1272" s="7">
        <v>1267.0</v>
      </c>
      <c r="B1272" s="7" t="s">
        <v>379</v>
      </c>
      <c r="C1272" s="7" t="str">
        <f>IFERROR(__xludf.DUMMYFUNCTION("GOOGLETRANSLATE($B1272, $A$2, $B$2)"),"13 days ago")</f>
        <v>13 days ago</v>
      </c>
      <c r="D1272" s="7" t="s">
        <v>2280</v>
      </c>
      <c r="E1272" s="7" t="s">
        <v>343</v>
      </c>
      <c r="F1272" s="7" t="s">
        <v>2281</v>
      </c>
      <c r="G1272" s="7" t="s">
        <v>260</v>
      </c>
      <c r="H1272" s="7" t="s">
        <v>261</v>
      </c>
      <c r="I1272" s="7" t="s">
        <v>261</v>
      </c>
      <c r="J1272" s="7" t="str">
        <f>IFERROR(__xludf.DUMMYFUNCTION("GOOGLETRANSLATE($I1272, ""de"", ""en"")"),"NO SALARY DATA")</f>
        <v>NO SALARY DATA</v>
      </c>
      <c r="K1272" s="7" t="s">
        <v>261</v>
      </c>
      <c r="L1272" s="7" t="s">
        <v>1653</v>
      </c>
      <c r="M1272" s="7" t="s">
        <v>673</v>
      </c>
      <c r="N1272" s="7" t="s">
        <v>260</v>
      </c>
      <c r="O1272" s="7"/>
      <c r="P1272" s="37"/>
      <c r="Q1272" s="7"/>
    </row>
    <row r="1273">
      <c r="A1273" s="7">
        <v>1268.0</v>
      </c>
      <c r="B1273" s="7" t="s">
        <v>265</v>
      </c>
      <c r="C1273" s="7" t="str">
        <f>IFERROR(__xludf.DUMMYFUNCTION("GOOGLETRANSLATE($B1273, $A$2, $B$2)"),"More than 30 days ago")</f>
        <v>More than 30 days ago</v>
      </c>
      <c r="D1273" s="7" t="s">
        <v>2282</v>
      </c>
      <c r="E1273" s="7" t="s">
        <v>348</v>
      </c>
      <c r="F1273" s="7" t="s">
        <v>260</v>
      </c>
      <c r="G1273" s="7" t="s">
        <v>260</v>
      </c>
      <c r="H1273" s="7" t="s">
        <v>261</v>
      </c>
      <c r="I1273" s="7" t="s">
        <v>261</v>
      </c>
      <c r="J1273" s="7" t="str">
        <f>IFERROR(__xludf.DUMMYFUNCTION("GOOGLETRANSLATE($I1273, ""de"", ""en"")"),"NO SALARY DATA")</f>
        <v>NO SALARY DATA</v>
      </c>
      <c r="K1273" s="7" t="s">
        <v>261</v>
      </c>
      <c r="L1273" s="7"/>
      <c r="M1273" s="7" t="s">
        <v>263</v>
      </c>
      <c r="N1273" s="7" t="s">
        <v>260</v>
      </c>
      <c r="O1273" s="7"/>
      <c r="P1273" s="37"/>
      <c r="Q1273" s="7"/>
    </row>
    <row r="1274">
      <c r="A1274" s="7">
        <v>1269.0</v>
      </c>
      <c r="B1274" s="7" t="s">
        <v>265</v>
      </c>
      <c r="C1274" s="7" t="str">
        <f>IFERROR(__xludf.DUMMYFUNCTION("GOOGLETRANSLATE($B1274, $A$2, $B$2)"),"More than 30 days ago")</f>
        <v>More than 30 days ago</v>
      </c>
      <c r="D1274" s="7" t="s">
        <v>2283</v>
      </c>
      <c r="E1274" s="7" t="s">
        <v>348</v>
      </c>
      <c r="F1274" s="7" t="s">
        <v>260</v>
      </c>
      <c r="G1274" s="7" t="s">
        <v>260</v>
      </c>
      <c r="H1274" s="7" t="s">
        <v>261</v>
      </c>
      <c r="I1274" s="7" t="s">
        <v>261</v>
      </c>
      <c r="J1274" s="7" t="str">
        <f>IFERROR(__xludf.DUMMYFUNCTION("GOOGLETRANSLATE($I1274, ""de"", ""en"")"),"NO SALARY DATA")</f>
        <v>NO SALARY DATA</v>
      </c>
      <c r="K1274" s="7" t="s">
        <v>261</v>
      </c>
      <c r="L1274" s="7" t="s">
        <v>433</v>
      </c>
      <c r="M1274" s="7" t="s">
        <v>263</v>
      </c>
      <c r="N1274" s="7" t="s">
        <v>260</v>
      </c>
      <c r="O1274" s="7"/>
      <c r="P1274" s="37"/>
      <c r="Q1274" s="7"/>
    </row>
    <row r="1275">
      <c r="A1275" s="7">
        <v>1270.0</v>
      </c>
      <c r="B1275" s="7" t="s">
        <v>1271</v>
      </c>
      <c r="C1275" s="7" t="str">
        <f>IFERROR(__xludf.DUMMYFUNCTION("GOOGLETRANSLATE($B1275, $A$2, $B$2)"),"27 days ago")</f>
        <v>27 days ago</v>
      </c>
      <c r="D1275" s="7" t="s">
        <v>2118</v>
      </c>
      <c r="E1275" s="7" t="s">
        <v>348</v>
      </c>
      <c r="F1275" s="7" t="s">
        <v>1991</v>
      </c>
      <c r="G1275" s="7" t="s">
        <v>1992</v>
      </c>
      <c r="H1275" s="7">
        <v>100000.0</v>
      </c>
      <c r="I1275" s="7" t="s">
        <v>384</v>
      </c>
      <c r="J1275" s="7" t="str">
        <f>IFERROR(__xludf.DUMMYFUNCTION("GOOGLETRANSLATE($I1275, ""de"", ""en"")"),"year")</f>
        <v>year</v>
      </c>
      <c r="K1275" s="7">
        <v>100000.0</v>
      </c>
      <c r="L1275" s="7" t="s">
        <v>777</v>
      </c>
      <c r="M1275" s="7" t="s">
        <v>673</v>
      </c>
      <c r="N1275" s="7" t="s">
        <v>260</v>
      </c>
      <c r="O1275" s="7"/>
      <c r="P1275" s="37"/>
      <c r="Q1275" s="7"/>
    </row>
    <row r="1276">
      <c r="A1276" s="7">
        <v>1271.0</v>
      </c>
      <c r="B1276" s="7" t="s">
        <v>265</v>
      </c>
      <c r="C1276" s="7" t="str">
        <f>IFERROR(__xludf.DUMMYFUNCTION("GOOGLETRANSLATE($B1276, $A$2, $B$2)"),"More than 30 days ago")</f>
        <v>More than 30 days ago</v>
      </c>
      <c r="D1276" s="7" t="s">
        <v>2284</v>
      </c>
      <c r="E1276" s="7" t="s">
        <v>348</v>
      </c>
      <c r="F1276" s="7" t="s">
        <v>1991</v>
      </c>
      <c r="G1276" s="7" t="s">
        <v>2285</v>
      </c>
      <c r="H1276" s="7">
        <v>110000.0</v>
      </c>
      <c r="I1276" s="7" t="s">
        <v>384</v>
      </c>
      <c r="J1276" s="7" t="str">
        <f>IFERROR(__xludf.DUMMYFUNCTION("GOOGLETRANSLATE($I1276, ""de"", ""en"")"),"year")</f>
        <v>year</v>
      </c>
      <c r="K1276" s="7">
        <v>110000.0</v>
      </c>
      <c r="L1276" s="7" t="s">
        <v>777</v>
      </c>
      <c r="M1276" s="7" t="s">
        <v>452</v>
      </c>
      <c r="N1276" s="7" t="s">
        <v>260</v>
      </c>
      <c r="O1276" s="7"/>
      <c r="P1276" s="37"/>
      <c r="Q1276" s="7"/>
    </row>
    <row r="1277">
      <c r="A1277" s="7">
        <v>1272.0</v>
      </c>
      <c r="B1277" s="7" t="s">
        <v>392</v>
      </c>
      <c r="C1277" s="7" t="str">
        <f>IFERROR(__xludf.DUMMYFUNCTION("GOOGLETRANSLATE($B1277, $A$2, $B$2)"),"10 days ago")</f>
        <v>10 days ago</v>
      </c>
      <c r="D1277" s="7" t="s">
        <v>2286</v>
      </c>
      <c r="E1277" s="7" t="s">
        <v>2287</v>
      </c>
      <c r="F1277" s="7" t="s">
        <v>260</v>
      </c>
      <c r="G1277" s="7" t="s">
        <v>260</v>
      </c>
      <c r="H1277" s="7" t="s">
        <v>261</v>
      </c>
      <c r="I1277" s="7" t="s">
        <v>261</v>
      </c>
      <c r="J1277" s="7" t="str">
        <f>IFERROR(__xludf.DUMMYFUNCTION("GOOGLETRANSLATE($I1277, ""de"", ""en"")"),"NO SALARY DATA")</f>
        <v>NO SALARY DATA</v>
      </c>
      <c r="K1277" s="7" t="s">
        <v>261</v>
      </c>
      <c r="L1277" s="7"/>
      <c r="M1277" s="7" t="s">
        <v>263</v>
      </c>
      <c r="N1277" s="7" t="s">
        <v>260</v>
      </c>
      <c r="O1277" s="7"/>
      <c r="P1277" s="37"/>
      <c r="Q1277" s="7"/>
    </row>
    <row r="1278">
      <c r="A1278" s="7">
        <v>1273.0</v>
      </c>
      <c r="B1278" s="7" t="s">
        <v>265</v>
      </c>
      <c r="C1278" s="7" t="str">
        <f>IFERROR(__xludf.DUMMYFUNCTION("GOOGLETRANSLATE($B1278, $A$2, $B$2)"),"More than 30 days ago")</f>
        <v>More than 30 days ago</v>
      </c>
      <c r="D1278" s="7" t="s">
        <v>2288</v>
      </c>
      <c r="E1278" s="7" t="s">
        <v>352</v>
      </c>
      <c r="F1278" s="7" t="s">
        <v>260</v>
      </c>
      <c r="G1278" s="7" t="s">
        <v>260</v>
      </c>
      <c r="H1278" s="7" t="s">
        <v>261</v>
      </c>
      <c r="I1278" s="7" t="s">
        <v>261</v>
      </c>
      <c r="J1278" s="7" t="str">
        <f>IFERROR(__xludf.DUMMYFUNCTION("GOOGLETRANSLATE($I1278, ""de"", ""en"")"),"NO SALARY DATA")</f>
        <v>NO SALARY DATA</v>
      </c>
      <c r="K1278" s="7" t="s">
        <v>261</v>
      </c>
      <c r="L1278" s="7" t="s">
        <v>1373</v>
      </c>
      <c r="M1278" s="7" t="s">
        <v>263</v>
      </c>
      <c r="N1278" s="7" t="s">
        <v>260</v>
      </c>
      <c r="O1278" s="7"/>
      <c r="P1278" s="35"/>
      <c r="Q1278" s="7"/>
    </row>
    <row r="1279">
      <c r="A1279" s="7">
        <v>1274.0</v>
      </c>
      <c r="B1279" s="7" t="s">
        <v>265</v>
      </c>
      <c r="C1279" s="7" t="str">
        <f>IFERROR(__xludf.DUMMYFUNCTION("GOOGLETRANSLATE($B1279, $A$2, $B$2)"),"More than 30 days ago")</f>
        <v>More than 30 days ago</v>
      </c>
      <c r="D1279" s="7" t="s">
        <v>2289</v>
      </c>
      <c r="E1279" s="7" t="s">
        <v>408</v>
      </c>
      <c r="F1279" s="7" t="s">
        <v>2290</v>
      </c>
      <c r="G1279" s="7" t="s">
        <v>260</v>
      </c>
      <c r="H1279" s="7" t="s">
        <v>261</v>
      </c>
      <c r="I1279" s="7" t="s">
        <v>261</v>
      </c>
      <c r="J1279" s="7" t="str">
        <f>IFERROR(__xludf.DUMMYFUNCTION("GOOGLETRANSLATE($I1279, ""de"", ""en"")"),"NO SALARY DATA")</f>
        <v>NO SALARY DATA</v>
      </c>
      <c r="K1279" s="7" t="s">
        <v>261</v>
      </c>
      <c r="L1279" s="7" t="s">
        <v>777</v>
      </c>
      <c r="M1279" s="7" t="s">
        <v>263</v>
      </c>
      <c r="N1279" s="7" t="s">
        <v>420</v>
      </c>
      <c r="O1279" s="7"/>
      <c r="P1279" s="37"/>
      <c r="Q1279" s="7"/>
    </row>
    <row r="1280">
      <c r="A1280" s="7">
        <v>1275.0</v>
      </c>
      <c r="B1280" s="7" t="s">
        <v>469</v>
      </c>
      <c r="C1280" s="7" t="str">
        <f>IFERROR(__xludf.DUMMYFUNCTION("GOOGLETRANSLATE($B1280, $A$2, $B$2)"),"19 days ago")</f>
        <v>19 days ago</v>
      </c>
      <c r="D1280" s="7" t="s">
        <v>2291</v>
      </c>
      <c r="E1280" s="7" t="s">
        <v>348</v>
      </c>
      <c r="F1280" s="7" t="s">
        <v>260</v>
      </c>
      <c r="G1280" s="7" t="s">
        <v>260</v>
      </c>
      <c r="H1280" s="7" t="s">
        <v>261</v>
      </c>
      <c r="I1280" s="7" t="s">
        <v>261</v>
      </c>
      <c r="J1280" s="7" t="str">
        <f>IFERROR(__xludf.DUMMYFUNCTION("GOOGLETRANSLATE($I1280, ""de"", ""en"")"),"NO SALARY DATA")</f>
        <v>NO SALARY DATA</v>
      </c>
      <c r="K1280" s="7" t="s">
        <v>261</v>
      </c>
      <c r="L1280" s="7" t="s">
        <v>782</v>
      </c>
      <c r="M1280" s="7" t="s">
        <v>263</v>
      </c>
      <c r="N1280" s="7" t="s">
        <v>260</v>
      </c>
      <c r="O1280" s="7"/>
      <c r="P1280" s="37"/>
      <c r="Q1280" s="7"/>
    </row>
    <row r="1281">
      <c r="A1281" s="7">
        <v>1276.0</v>
      </c>
      <c r="B1281" s="7" t="s">
        <v>288</v>
      </c>
      <c r="C1281" s="7" t="str">
        <f>IFERROR(__xludf.DUMMYFUNCTION("GOOGLETRANSLATE($B1281, $A$2, $B$2)"),"2 days ago")</f>
        <v>2 days ago</v>
      </c>
      <c r="D1281" s="7" t="s">
        <v>2292</v>
      </c>
      <c r="E1281" s="7" t="s">
        <v>343</v>
      </c>
      <c r="F1281" s="7" t="s">
        <v>2227</v>
      </c>
      <c r="G1281" s="7" t="s">
        <v>260</v>
      </c>
      <c r="H1281" s="7" t="s">
        <v>261</v>
      </c>
      <c r="I1281" s="7" t="s">
        <v>261</v>
      </c>
      <c r="J1281" s="7" t="str">
        <f>IFERROR(__xludf.DUMMYFUNCTION("GOOGLETRANSLATE($I1281, ""de"", ""en"")"),"NO SALARY DATA")</f>
        <v>NO SALARY DATA</v>
      </c>
      <c r="K1281" s="7" t="s">
        <v>261</v>
      </c>
      <c r="L1281" s="7"/>
      <c r="M1281" s="7" t="s">
        <v>884</v>
      </c>
      <c r="N1281" s="7" t="s">
        <v>260</v>
      </c>
      <c r="O1281" s="7"/>
      <c r="P1281" s="37"/>
      <c r="Q1281" s="7"/>
    </row>
    <row r="1282">
      <c r="A1282" s="7">
        <v>1277.0</v>
      </c>
      <c r="B1282" s="7" t="s">
        <v>265</v>
      </c>
      <c r="C1282" s="7" t="str">
        <f>IFERROR(__xludf.DUMMYFUNCTION("GOOGLETRANSLATE($B1282, $A$2, $B$2)"),"More than 30 days ago")</f>
        <v>More than 30 days ago</v>
      </c>
      <c r="D1282" s="7" t="s">
        <v>2284</v>
      </c>
      <c r="E1282" s="7" t="s">
        <v>348</v>
      </c>
      <c r="F1282" s="7" t="s">
        <v>1991</v>
      </c>
      <c r="G1282" s="7" t="s">
        <v>2285</v>
      </c>
      <c r="H1282" s="7">
        <v>110000.0</v>
      </c>
      <c r="I1282" s="7" t="s">
        <v>384</v>
      </c>
      <c r="J1282" s="7" t="str">
        <f>IFERROR(__xludf.DUMMYFUNCTION("GOOGLETRANSLATE($I1282, ""de"", ""en"")"),"year")</f>
        <v>year</v>
      </c>
      <c r="K1282" s="7">
        <v>110000.0</v>
      </c>
      <c r="L1282" s="7" t="s">
        <v>777</v>
      </c>
      <c r="M1282" s="7" t="s">
        <v>452</v>
      </c>
      <c r="N1282" s="7" t="s">
        <v>260</v>
      </c>
      <c r="O1282" s="7"/>
      <c r="P1282" s="37"/>
      <c r="Q1282" s="7"/>
    </row>
    <row r="1283">
      <c r="A1283" s="7">
        <v>1278.0</v>
      </c>
      <c r="B1283" s="7" t="s">
        <v>265</v>
      </c>
      <c r="C1283" s="7" t="str">
        <f>IFERROR(__xludf.DUMMYFUNCTION("GOOGLETRANSLATE($B1283, $A$2, $B$2)"),"More than 30 days ago")</f>
        <v>More than 30 days ago</v>
      </c>
      <c r="D1283" s="7" t="s">
        <v>2253</v>
      </c>
      <c r="E1283" s="7" t="s">
        <v>417</v>
      </c>
      <c r="F1283" s="7" t="s">
        <v>260</v>
      </c>
      <c r="G1283" s="7" t="s">
        <v>260</v>
      </c>
      <c r="H1283" s="7" t="s">
        <v>261</v>
      </c>
      <c r="I1283" s="7" t="s">
        <v>261</v>
      </c>
      <c r="J1283" s="7" t="str">
        <f>IFERROR(__xludf.DUMMYFUNCTION("GOOGLETRANSLATE($I1283, ""de"", ""en"")"),"NO SALARY DATA")</f>
        <v>NO SALARY DATA</v>
      </c>
      <c r="K1283" s="7" t="s">
        <v>261</v>
      </c>
      <c r="L1283" s="7"/>
      <c r="M1283" s="7" t="s">
        <v>263</v>
      </c>
      <c r="N1283" s="7" t="s">
        <v>260</v>
      </c>
      <c r="O1283" s="7"/>
      <c r="P1283" s="37"/>
      <c r="Q1283" s="7"/>
    </row>
    <row r="1284">
      <c r="A1284" s="7">
        <v>1279.0</v>
      </c>
      <c r="B1284" s="7" t="s">
        <v>469</v>
      </c>
      <c r="C1284" s="7" t="str">
        <f>IFERROR(__xludf.DUMMYFUNCTION("GOOGLETRANSLATE($B1284, $A$2, $B$2)"),"19 days ago")</f>
        <v>19 days ago</v>
      </c>
      <c r="D1284" s="7" t="s">
        <v>2293</v>
      </c>
      <c r="E1284" s="7" t="s">
        <v>1227</v>
      </c>
      <c r="F1284" s="7" t="s">
        <v>260</v>
      </c>
      <c r="G1284" s="7" t="s">
        <v>260</v>
      </c>
      <c r="H1284" s="7" t="s">
        <v>261</v>
      </c>
      <c r="I1284" s="7" t="s">
        <v>261</v>
      </c>
      <c r="J1284" s="7" t="str">
        <f>IFERROR(__xludf.DUMMYFUNCTION("GOOGLETRANSLATE($I1284, ""de"", ""en"")"),"NO SALARY DATA")</f>
        <v>NO SALARY DATA</v>
      </c>
      <c r="K1284" s="7" t="s">
        <v>261</v>
      </c>
      <c r="L1284" s="7"/>
      <c r="M1284" s="7" t="s">
        <v>263</v>
      </c>
      <c r="N1284" s="7" t="s">
        <v>260</v>
      </c>
      <c r="O1284" s="7"/>
      <c r="P1284" s="37"/>
      <c r="Q1284" s="7"/>
    </row>
    <row r="1285">
      <c r="A1285" s="7">
        <v>1280.0</v>
      </c>
      <c r="B1285" s="7" t="s">
        <v>650</v>
      </c>
      <c r="C1285" s="7" t="str">
        <f>IFERROR(__xludf.DUMMYFUNCTION("GOOGLETRANSLATE($B1285, $A$2, $B$2)"),"16 days ago")</f>
        <v>16 days ago</v>
      </c>
      <c r="D1285" s="7" t="s">
        <v>2294</v>
      </c>
      <c r="E1285" s="7" t="s">
        <v>343</v>
      </c>
      <c r="F1285" s="7" t="s">
        <v>2274</v>
      </c>
      <c r="G1285" s="7" t="s">
        <v>870</v>
      </c>
      <c r="H1285" s="7">
        <v>60000.0</v>
      </c>
      <c r="I1285" s="7" t="s">
        <v>384</v>
      </c>
      <c r="J1285" s="7" t="str">
        <f>IFERROR(__xludf.DUMMYFUNCTION("GOOGLETRANSLATE($I1285, ""de"", ""en"")"),"year")</f>
        <v>year</v>
      </c>
      <c r="K1285" s="7">
        <v>60000.0</v>
      </c>
      <c r="L1285" s="7" t="s">
        <v>777</v>
      </c>
      <c r="M1285" s="7" t="s">
        <v>673</v>
      </c>
      <c r="N1285" s="7" t="s">
        <v>260</v>
      </c>
      <c r="O1285" s="7"/>
      <c r="P1285" s="37"/>
      <c r="Q1285" s="7"/>
    </row>
    <row r="1286">
      <c r="A1286" s="7">
        <v>1281.0</v>
      </c>
      <c r="B1286" s="7" t="s">
        <v>265</v>
      </c>
      <c r="C1286" s="7" t="str">
        <f>IFERROR(__xludf.DUMMYFUNCTION("GOOGLETRANSLATE($B1286, $A$2, $B$2)"),"More than 30 days ago")</f>
        <v>More than 30 days ago</v>
      </c>
      <c r="D1286" s="7" t="s">
        <v>2295</v>
      </c>
      <c r="E1286" s="7" t="s">
        <v>1209</v>
      </c>
      <c r="F1286" s="7" t="s">
        <v>260</v>
      </c>
      <c r="G1286" s="7" t="s">
        <v>260</v>
      </c>
      <c r="H1286" s="7" t="s">
        <v>261</v>
      </c>
      <c r="I1286" s="7" t="s">
        <v>261</v>
      </c>
      <c r="J1286" s="7" t="str">
        <f>IFERROR(__xludf.DUMMYFUNCTION("GOOGLETRANSLATE($I1286, ""de"", ""en"")"),"NO SALARY DATA")</f>
        <v>NO SALARY DATA</v>
      </c>
      <c r="K1286" s="7" t="s">
        <v>261</v>
      </c>
      <c r="L1286" s="7" t="s">
        <v>2296</v>
      </c>
      <c r="M1286" s="7" t="s">
        <v>263</v>
      </c>
      <c r="N1286" s="7" t="s">
        <v>260</v>
      </c>
      <c r="O1286" s="7"/>
      <c r="P1286" s="35"/>
      <c r="Q1286" s="7"/>
    </row>
    <row r="1287">
      <c r="A1287" s="7">
        <v>1282.0</v>
      </c>
      <c r="B1287" s="7" t="s">
        <v>265</v>
      </c>
      <c r="C1287" s="7" t="str">
        <f>IFERROR(__xludf.DUMMYFUNCTION("GOOGLETRANSLATE($B1287, $A$2, $B$2)"),"More than 30 days ago")</f>
        <v>More than 30 days ago</v>
      </c>
      <c r="D1287" s="7" t="s">
        <v>2297</v>
      </c>
      <c r="E1287" s="7" t="s">
        <v>1914</v>
      </c>
      <c r="F1287" s="7" t="s">
        <v>2298</v>
      </c>
      <c r="G1287" s="7" t="s">
        <v>260</v>
      </c>
      <c r="H1287" s="7" t="s">
        <v>261</v>
      </c>
      <c r="I1287" s="7" t="s">
        <v>261</v>
      </c>
      <c r="J1287" s="7" t="str">
        <f>IFERROR(__xludf.DUMMYFUNCTION("GOOGLETRANSLATE($I1287, ""de"", ""en"")"),"NO SALARY DATA")</f>
        <v>NO SALARY DATA</v>
      </c>
      <c r="K1287" s="7" t="s">
        <v>261</v>
      </c>
      <c r="L1287" s="7" t="s">
        <v>282</v>
      </c>
      <c r="M1287" s="7" t="s">
        <v>263</v>
      </c>
      <c r="N1287" s="7" t="s">
        <v>275</v>
      </c>
      <c r="O1287" s="7"/>
      <c r="P1287" s="37"/>
      <c r="Q1287" s="7"/>
    </row>
    <row r="1288">
      <c r="A1288" s="7">
        <v>1283.0</v>
      </c>
      <c r="B1288" s="7" t="s">
        <v>392</v>
      </c>
      <c r="C1288" s="7" t="str">
        <f>IFERROR(__xludf.DUMMYFUNCTION("GOOGLETRANSLATE($B1288, $A$2, $B$2)"),"10 days ago")</f>
        <v>10 days ago</v>
      </c>
      <c r="D1288" s="7" t="s">
        <v>2299</v>
      </c>
      <c r="E1288" s="7" t="s">
        <v>280</v>
      </c>
      <c r="F1288" s="7" t="s">
        <v>260</v>
      </c>
      <c r="G1288" s="7" t="s">
        <v>260</v>
      </c>
      <c r="H1288" s="7" t="s">
        <v>261</v>
      </c>
      <c r="I1288" s="7" t="s">
        <v>261</v>
      </c>
      <c r="J1288" s="7" t="str">
        <f>IFERROR(__xludf.DUMMYFUNCTION("GOOGLETRANSLATE($I1288, ""de"", ""en"")"),"NO SALARY DATA")</f>
        <v>NO SALARY DATA</v>
      </c>
      <c r="K1288" s="7" t="s">
        <v>261</v>
      </c>
      <c r="L1288" s="7"/>
      <c r="M1288" s="7" t="s">
        <v>263</v>
      </c>
      <c r="N1288" s="7" t="s">
        <v>260</v>
      </c>
      <c r="O1288" s="7"/>
      <c r="P1288" s="37"/>
      <c r="Q1288" s="7"/>
    </row>
    <row r="1289">
      <c r="A1289" s="7">
        <v>1284.0</v>
      </c>
      <c r="B1289" s="7" t="s">
        <v>324</v>
      </c>
      <c r="C1289" s="7" t="str">
        <f>IFERROR(__xludf.DUMMYFUNCTION("GOOGLETRANSLATE($B1289, $A$2, $B$2)"),"3 days ago")</f>
        <v>3 days ago</v>
      </c>
      <c r="D1289" s="7" t="s">
        <v>2300</v>
      </c>
      <c r="E1289" s="7" t="s">
        <v>622</v>
      </c>
      <c r="F1289" s="7" t="s">
        <v>260</v>
      </c>
      <c r="G1289" s="7" t="s">
        <v>260</v>
      </c>
      <c r="H1289" s="7" t="s">
        <v>261</v>
      </c>
      <c r="I1289" s="7" t="s">
        <v>261</v>
      </c>
      <c r="J1289" s="7" t="str">
        <f>IFERROR(__xludf.DUMMYFUNCTION("GOOGLETRANSLATE($I1289, ""de"", ""en"")"),"NO SALARY DATA")</f>
        <v>NO SALARY DATA</v>
      </c>
      <c r="K1289" s="7" t="s">
        <v>261</v>
      </c>
      <c r="L1289" s="7" t="s">
        <v>423</v>
      </c>
      <c r="M1289" s="7" t="s">
        <v>263</v>
      </c>
      <c r="N1289" s="7" t="s">
        <v>260</v>
      </c>
      <c r="O1289" s="7"/>
      <c r="P1289" s="37"/>
      <c r="Q1289" s="7"/>
    </row>
    <row r="1290">
      <c r="A1290" s="7">
        <v>1285.0</v>
      </c>
      <c r="B1290" s="7" t="s">
        <v>637</v>
      </c>
      <c r="C1290" s="7" t="str">
        <f>IFERROR(__xludf.DUMMYFUNCTION("GOOGLETRANSLATE($B1290, $A$2, $B$2)"),"17 days ago")</f>
        <v>17 days ago</v>
      </c>
      <c r="D1290" s="7" t="s">
        <v>2301</v>
      </c>
      <c r="E1290" s="7" t="s">
        <v>258</v>
      </c>
      <c r="F1290" s="7" t="s">
        <v>260</v>
      </c>
      <c r="G1290" s="7" t="s">
        <v>260</v>
      </c>
      <c r="H1290" s="7" t="s">
        <v>261</v>
      </c>
      <c r="I1290" s="7" t="s">
        <v>261</v>
      </c>
      <c r="J1290" s="7" t="str">
        <f>IFERROR(__xludf.DUMMYFUNCTION("GOOGLETRANSLATE($I1290, ""de"", ""en"")"),"NO SALARY DATA")</f>
        <v>NO SALARY DATA</v>
      </c>
      <c r="K1290" s="7" t="s">
        <v>261</v>
      </c>
      <c r="L1290" s="7"/>
      <c r="M1290" s="7" t="s">
        <v>263</v>
      </c>
      <c r="N1290" s="7" t="s">
        <v>260</v>
      </c>
      <c r="O1290" s="7"/>
      <c r="P1290" s="37"/>
      <c r="Q1290" s="7"/>
    </row>
    <row r="1291">
      <c r="A1291" s="7">
        <v>1286.0</v>
      </c>
      <c r="B1291" s="7" t="s">
        <v>265</v>
      </c>
      <c r="C1291" s="7" t="str">
        <f>IFERROR(__xludf.DUMMYFUNCTION("GOOGLETRANSLATE($B1291, $A$2, $B$2)"),"More than 30 days ago")</f>
        <v>More than 30 days ago</v>
      </c>
      <c r="D1291" s="7" t="s">
        <v>2302</v>
      </c>
      <c r="E1291" s="7" t="s">
        <v>280</v>
      </c>
      <c r="F1291" s="7" t="s">
        <v>260</v>
      </c>
      <c r="G1291" s="7" t="s">
        <v>260</v>
      </c>
      <c r="H1291" s="7" t="s">
        <v>261</v>
      </c>
      <c r="I1291" s="7" t="s">
        <v>261</v>
      </c>
      <c r="J1291" s="7" t="str">
        <f>IFERROR(__xludf.DUMMYFUNCTION("GOOGLETRANSLATE($I1291, ""de"", ""en"")"),"NO SALARY DATA")</f>
        <v>NO SALARY DATA</v>
      </c>
      <c r="K1291" s="7" t="s">
        <v>261</v>
      </c>
      <c r="L1291" s="7"/>
      <c r="M1291" s="7" t="s">
        <v>263</v>
      </c>
      <c r="N1291" s="7" t="s">
        <v>260</v>
      </c>
      <c r="O1291" s="7"/>
      <c r="P1291" s="37"/>
      <c r="Q1291" s="7"/>
    </row>
    <row r="1292">
      <c r="A1292" s="7">
        <v>1287.0</v>
      </c>
      <c r="B1292" s="7" t="s">
        <v>265</v>
      </c>
      <c r="C1292" s="7" t="str">
        <f>IFERROR(__xludf.DUMMYFUNCTION("GOOGLETRANSLATE($B1292, $A$2, $B$2)"),"More than 30 days ago")</f>
        <v>More than 30 days ago</v>
      </c>
      <c r="D1292" s="7" t="s">
        <v>2303</v>
      </c>
      <c r="E1292" s="7" t="s">
        <v>258</v>
      </c>
      <c r="F1292" s="7" t="s">
        <v>260</v>
      </c>
      <c r="G1292" s="7" t="s">
        <v>260</v>
      </c>
      <c r="H1292" s="7" t="s">
        <v>261</v>
      </c>
      <c r="I1292" s="7" t="s">
        <v>261</v>
      </c>
      <c r="J1292" s="7" t="str">
        <f>IFERROR(__xludf.DUMMYFUNCTION("GOOGLETRANSLATE($I1292, ""de"", ""en"")"),"NO SALARY DATA")</f>
        <v>NO SALARY DATA</v>
      </c>
      <c r="K1292" s="7" t="s">
        <v>261</v>
      </c>
      <c r="L1292" s="7"/>
      <c r="M1292" s="7" t="s">
        <v>263</v>
      </c>
      <c r="N1292" s="7" t="s">
        <v>260</v>
      </c>
      <c r="O1292" s="7"/>
      <c r="P1292" s="37"/>
      <c r="Q1292" s="7"/>
    </row>
    <row r="1293">
      <c r="A1293" s="7">
        <v>1288.0</v>
      </c>
      <c r="B1293" s="7" t="s">
        <v>341</v>
      </c>
      <c r="C1293" s="7" t="str">
        <f>IFERROR(__xludf.DUMMYFUNCTION("GOOGLETRANSLATE($B1293, $A$2, $B$2)"),"before 14 days")</f>
        <v>before 14 days</v>
      </c>
      <c r="D1293" s="7" t="s">
        <v>2304</v>
      </c>
      <c r="E1293" s="7" t="s">
        <v>372</v>
      </c>
      <c r="F1293" s="7" t="s">
        <v>260</v>
      </c>
      <c r="G1293" s="7" t="s">
        <v>260</v>
      </c>
      <c r="H1293" s="7" t="s">
        <v>261</v>
      </c>
      <c r="I1293" s="7" t="s">
        <v>261</v>
      </c>
      <c r="J1293" s="7" t="str">
        <f>IFERROR(__xludf.DUMMYFUNCTION("GOOGLETRANSLATE($I1293, ""de"", ""en"")"),"NO SALARY DATA")</f>
        <v>NO SALARY DATA</v>
      </c>
      <c r="K1293" s="7" t="s">
        <v>261</v>
      </c>
      <c r="L1293" s="7" t="s">
        <v>838</v>
      </c>
      <c r="M1293" s="7" t="s">
        <v>263</v>
      </c>
      <c r="N1293" s="7" t="s">
        <v>260</v>
      </c>
      <c r="O1293" s="7"/>
      <c r="P1293" s="37"/>
      <c r="Q1293" s="7"/>
    </row>
    <row r="1294">
      <c r="A1294" s="7">
        <v>1289.0</v>
      </c>
      <c r="B1294" s="7" t="s">
        <v>375</v>
      </c>
      <c r="C1294" s="7" t="str">
        <f>IFERROR(__xludf.DUMMYFUNCTION("GOOGLETRANSLATE($B1294, $A$2, $B$2)"),"6 days ago")</f>
        <v>6 days ago</v>
      </c>
      <c r="D1294" s="7" t="s">
        <v>2305</v>
      </c>
      <c r="E1294" s="7" t="s">
        <v>401</v>
      </c>
      <c r="F1294" s="7" t="s">
        <v>260</v>
      </c>
      <c r="G1294" s="7" t="s">
        <v>260</v>
      </c>
      <c r="H1294" s="7" t="s">
        <v>261</v>
      </c>
      <c r="I1294" s="7" t="s">
        <v>261</v>
      </c>
      <c r="J1294" s="7" t="str">
        <f>IFERROR(__xludf.DUMMYFUNCTION("GOOGLETRANSLATE($I1294, ""de"", ""en"")"),"NO SALARY DATA")</f>
        <v>NO SALARY DATA</v>
      </c>
      <c r="K1294" s="7" t="s">
        <v>261</v>
      </c>
      <c r="L1294" s="7"/>
      <c r="M1294" s="7" t="s">
        <v>263</v>
      </c>
      <c r="N1294" s="7" t="s">
        <v>260</v>
      </c>
      <c r="O1294" s="7"/>
      <c r="P1294" s="37"/>
      <c r="Q1294" s="7"/>
    </row>
    <row r="1295">
      <c r="A1295" s="7">
        <v>1290.0</v>
      </c>
      <c r="B1295" s="7" t="s">
        <v>379</v>
      </c>
      <c r="C1295" s="7" t="str">
        <f>IFERROR(__xludf.DUMMYFUNCTION("GOOGLETRANSLATE($B1295, $A$2, $B$2)"),"13 days ago")</f>
        <v>13 days ago</v>
      </c>
      <c r="D1295" s="7" t="s">
        <v>2306</v>
      </c>
      <c r="E1295" s="7" t="s">
        <v>1300</v>
      </c>
      <c r="F1295" s="7" t="s">
        <v>260</v>
      </c>
      <c r="G1295" s="7" t="s">
        <v>260</v>
      </c>
      <c r="H1295" s="7" t="s">
        <v>261</v>
      </c>
      <c r="I1295" s="7" t="s">
        <v>261</v>
      </c>
      <c r="J1295" s="7" t="str">
        <f>IFERROR(__xludf.DUMMYFUNCTION("GOOGLETRANSLATE($I1295, ""de"", ""en"")"),"NO SALARY DATA")</f>
        <v>NO SALARY DATA</v>
      </c>
      <c r="K1295" s="7" t="s">
        <v>261</v>
      </c>
      <c r="L1295" s="7" t="s">
        <v>1637</v>
      </c>
      <c r="M1295" s="7" t="s">
        <v>263</v>
      </c>
      <c r="N1295" s="7" t="s">
        <v>260</v>
      </c>
      <c r="O1295" s="7"/>
      <c r="P1295" s="37"/>
      <c r="Q1295" s="7"/>
    </row>
    <row r="1296">
      <c r="A1296" s="7">
        <v>1291.0</v>
      </c>
      <c r="B1296" s="7" t="s">
        <v>379</v>
      </c>
      <c r="C1296" s="7" t="str">
        <f>IFERROR(__xludf.DUMMYFUNCTION("GOOGLETRANSLATE($B1296, $A$2, $B$2)"),"13 days ago")</f>
        <v>13 days ago</v>
      </c>
      <c r="D1296" s="7" t="s">
        <v>2307</v>
      </c>
      <c r="E1296" s="7" t="s">
        <v>280</v>
      </c>
      <c r="F1296" s="7" t="s">
        <v>260</v>
      </c>
      <c r="G1296" s="7" t="s">
        <v>260</v>
      </c>
      <c r="H1296" s="7" t="s">
        <v>261</v>
      </c>
      <c r="I1296" s="7" t="s">
        <v>261</v>
      </c>
      <c r="J1296" s="7" t="str">
        <f>IFERROR(__xludf.DUMMYFUNCTION("GOOGLETRANSLATE($I1296, ""de"", ""en"")"),"NO SALARY DATA")</f>
        <v>NO SALARY DATA</v>
      </c>
      <c r="K1296" s="7" t="s">
        <v>261</v>
      </c>
      <c r="L1296" s="7"/>
      <c r="M1296" s="7" t="s">
        <v>263</v>
      </c>
      <c r="N1296" s="7" t="s">
        <v>260</v>
      </c>
      <c r="O1296" s="7"/>
      <c r="P1296" s="37"/>
      <c r="Q1296" s="7"/>
    </row>
    <row r="1297">
      <c r="A1297" s="7">
        <v>1292.0</v>
      </c>
      <c r="B1297" s="7" t="s">
        <v>346</v>
      </c>
      <c r="C1297" s="7" t="str">
        <f>IFERROR(__xludf.DUMMYFUNCTION("GOOGLETRANSLATE($B1297, $A$2, $B$2)"),"12 days ago")</f>
        <v>12 days ago</v>
      </c>
      <c r="D1297" s="7" t="s">
        <v>2308</v>
      </c>
      <c r="E1297" s="7" t="s">
        <v>343</v>
      </c>
      <c r="F1297" s="7" t="s">
        <v>2191</v>
      </c>
      <c r="G1297" s="7" t="s">
        <v>260</v>
      </c>
      <c r="H1297" s="7" t="s">
        <v>261</v>
      </c>
      <c r="I1297" s="7" t="s">
        <v>261</v>
      </c>
      <c r="J1297" s="7" t="str">
        <f>IFERROR(__xludf.DUMMYFUNCTION("GOOGLETRANSLATE($I1297, ""de"", ""en"")"),"NO SALARY DATA")</f>
        <v>NO SALARY DATA</v>
      </c>
      <c r="K1297" s="7" t="s">
        <v>261</v>
      </c>
      <c r="L1297" s="7" t="s">
        <v>398</v>
      </c>
      <c r="M1297" s="7" t="s">
        <v>263</v>
      </c>
      <c r="N1297" s="7" t="s">
        <v>260</v>
      </c>
      <c r="O1297" s="7"/>
      <c r="P1297" s="37"/>
      <c r="Q1297" s="7"/>
    </row>
    <row r="1298">
      <c r="A1298" s="7">
        <v>1293.0</v>
      </c>
      <c r="B1298" s="7" t="s">
        <v>265</v>
      </c>
      <c r="C1298" s="7" t="str">
        <f>IFERROR(__xludf.DUMMYFUNCTION("GOOGLETRANSLATE($B1298, $A$2, $B$2)"),"More than 30 days ago")</f>
        <v>More than 30 days ago</v>
      </c>
      <c r="D1298" s="7" t="s">
        <v>2309</v>
      </c>
      <c r="E1298" s="7" t="s">
        <v>2310</v>
      </c>
      <c r="F1298" s="7" t="s">
        <v>260</v>
      </c>
      <c r="G1298" s="7" t="s">
        <v>260</v>
      </c>
      <c r="H1298" s="7" t="s">
        <v>261</v>
      </c>
      <c r="I1298" s="7" t="s">
        <v>261</v>
      </c>
      <c r="J1298" s="7" t="str">
        <f>IFERROR(__xludf.DUMMYFUNCTION("GOOGLETRANSLATE($I1298, ""de"", ""en"")"),"NO SALARY DATA")</f>
        <v>NO SALARY DATA</v>
      </c>
      <c r="K1298" s="7" t="s">
        <v>261</v>
      </c>
      <c r="L1298" s="7"/>
      <c r="M1298" s="7" t="s">
        <v>263</v>
      </c>
      <c r="N1298" s="7" t="s">
        <v>260</v>
      </c>
      <c r="O1298" s="7"/>
      <c r="P1298" s="37"/>
      <c r="Q1298" s="7"/>
    </row>
    <row r="1299">
      <c r="A1299" s="7">
        <v>1294.0</v>
      </c>
      <c r="B1299" s="7" t="s">
        <v>265</v>
      </c>
      <c r="C1299" s="7" t="str">
        <f>IFERROR(__xludf.DUMMYFUNCTION("GOOGLETRANSLATE($B1299, $A$2, $B$2)"),"More than 30 days ago")</f>
        <v>More than 30 days ago</v>
      </c>
      <c r="D1299" s="7" t="s">
        <v>2311</v>
      </c>
      <c r="E1299" s="7" t="s">
        <v>258</v>
      </c>
      <c r="F1299" s="7" t="s">
        <v>260</v>
      </c>
      <c r="G1299" s="7" t="s">
        <v>260</v>
      </c>
      <c r="H1299" s="7" t="s">
        <v>261</v>
      </c>
      <c r="I1299" s="7" t="s">
        <v>261</v>
      </c>
      <c r="J1299" s="7" t="str">
        <f>IFERROR(__xludf.DUMMYFUNCTION("GOOGLETRANSLATE($I1299, ""de"", ""en"")"),"NO SALARY DATA")</f>
        <v>NO SALARY DATA</v>
      </c>
      <c r="K1299" s="7" t="s">
        <v>261</v>
      </c>
      <c r="L1299" s="7" t="s">
        <v>777</v>
      </c>
      <c r="M1299" s="7" t="s">
        <v>263</v>
      </c>
      <c r="N1299" s="7" t="s">
        <v>260</v>
      </c>
      <c r="O1299" s="7"/>
      <c r="P1299" s="37"/>
      <c r="Q1299" s="7"/>
    </row>
    <row r="1300">
      <c r="A1300" s="7">
        <v>1295.0</v>
      </c>
      <c r="B1300" s="7" t="s">
        <v>265</v>
      </c>
      <c r="C1300" s="7" t="str">
        <f>IFERROR(__xludf.DUMMYFUNCTION("GOOGLETRANSLATE($B1300, $A$2, $B$2)"),"More than 30 days ago")</f>
        <v>More than 30 days ago</v>
      </c>
      <c r="D1300" s="7" t="s">
        <v>2312</v>
      </c>
      <c r="E1300" s="7" t="s">
        <v>1355</v>
      </c>
      <c r="F1300" s="7" t="s">
        <v>260</v>
      </c>
      <c r="G1300" s="7" t="s">
        <v>260</v>
      </c>
      <c r="H1300" s="7" t="s">
        <v>261</v>
      </c>
      <c r="I1300" s="7" t="s">
        <v>261</v>
      </c>
      <c r="J1300" s="7" t="str">
        <f>IFERROR(__xludf.DUMMYFUNCTION("GOOGLETRANSLATE($I1300, ""de"", ""en"")"),"NO SALARY DATA")</f>
        <v>NO SALARY DATA</v>
      </c>
      <c r="K1300" s="7" t="s">
        <v>261</v>
      </c>
      <c r="L1300" s="7" t="s">
        <v>1487</v>
      </c>
      <c r="M1300" s="7" t="s">
        <v>263</v>
      </c>
      <c r="N1300" s="7" t="s">
        <v>260</v>
      </c>
      <c r="O1300" s="7"/>
      <c r="P1300" s="37"/>
      <c r="Q1300" s="7"/>
    </row>
    <row r="1301">
      <c r="A1301" s="7">
        <v>1296.0</v>
      </c>
      <c r="B1301" s="7" t="s">
        <v>346</v>
      </c>
      <c r="C1301" s="7" t="str">
        <f>IFERROR(__xludf.DUMMYFUNCTION("GOOGLETRANSLATE($B1301, $A$2, $B$2)"),"12 days ago")</f>
        <v>12 days ago</v>
      </c>
      <c r="D1301" s="7" t="s">
        <v>2313</v>
      </c>
      <c r="E1301" s="7" t="s">
        <v>343</v>
      </c>
      <c r="F1301" s="7" t="s">
        <v>260</v>
      </c>
      <c r="G1301" s="7" t="s">
        <v>260</v>
      </c>
      <c r="H1301" s="7" t="s">
        <v>261</v>
      </c>
      <c r="I1301" s="7" t="s">
        <v>261</v>
      </c>
      <c r="J1301" s="7" t="str">
        <f>IFERROR(__xludf.DUMMYFUNCTION("GOOGLETRANSLATE($I1301, ""de"", ""en"")"),"NO SALARY DATA")</f>
        <v>NO SALARY DATA</v>
      </c>
      <c r="K1301" s="7" t="s">
        <v>261</v>
      </c>
      <c r="L1301" s="7" t="s">
        <v>728</v>
      </c>
      <c r="M1301" s="7" t="s">
        <v>263</v>
      </c>
      <c r="N1301" s="7" t="s">
        <v>260</v>
      </c>
      <c r="O1301" s="7"/>
      <c r="P1301" s="37"/>
      <c r="Q1301" s="7"/>
    </row>
    <row r="1302">
      <c r="A1302" s="7">
        <v>1297.0</v>
      </c>
      <c r="B1302" s="7" t="s">
        <v>371</v>
      </c>
      <c r="C1302" s="7" t="str">
        <f>IFERROR(__xludf.DUMMYFUNCTION("GOOGLETRANSLATE($B1302, $A$2, $B$2)"),"Straight")</f>
        <v>Straight</v>
      </c>
      <c r="D1302" s="7" t="s">
        <v>2251</v>
      </c>
      <c r="E1302" s="7" t="s">
        <v>683</v>
      </c>
      <c r="F1302" s="7" t="s">
        <v>260</v>
      </c>
      <c r="G1302" s="7" t="s">
        <v>260</v>
      </c>
      <c r="H1302" s="7" t="s">
        <v>261</v>
      </c>
      <c r="I1302" s="7" t="s">
        <v>261</v>
      </c>
      <c r="J1302" s="7" t="str">
        <f>IFERROR(__xludf.DUMMYFUNCTION("GOOGLETRANSLATE($I1302, ""de"", ""en"")"),"NO SALARY DATA")</f>
        <v>NO SALARY DATA</v>
      </c>
      <c r="K1302" s="7" t="s">
        <v>261</v>
      </c>
      <c r="L1302" s="7" t="s">
        <v>312</v>
      </c>
      <c r="M1302" s="7" t="s">
        <v>263</v>
      </c>
      <c r="N1302" s="7" t="s">
        <v>260</v>
      </c>
      <c r="O1302" s="7"/>
      <c r="P1302" s="37"/>
      <c r="Q1302" s="7"/>
    </row>
    <row r="1303">
      <c r="A1303" s="7">
        <v>1298.0</v>
      </c>
      <c r="B1303" s="7" t="s">
        <v>621</v>
      </c>
      <c r="C1303" s="7" t="str">
        <f>IFERROR(__xludf.DUMMYFUNCTION("GOOGLETRANSLATE($B1303, $A$2, $B$2)"),"20 days ago")</f>
        <v>20 days ago</v>
      </c>
      <c r="D1303" s="7" t="s">
        <v>2221</v>
      </c>
      <c r="E1303" s="7" t="s">
        <v>258</v>
      </c>
      <c r="F1303" s="7" t="s">
        <v>260</v>
      </c>
      <c r="G1303" s="7" t="s">
        <v>2222</v>
      </c>
      <c r="H1303" s="7">
        <v>550.0</v>
      </c>
      <c r="I1303" s="7" t="s">
        <v>811</v>
      </c>
      <c r="J1303" s="7" t="str">
        <f>IFERROR(__xludf.DUMMYFUNCTION("GOOGLETRANSLATE($I1303, ""de"", ""en"")"),"month")</f>
        <v>month</v>
      </c>
      <c r="K1303" s="7">
        <v>6600.0</v>
      </c>
      <c r="L1303" s="7" t="s">
        <v>1037</v>
      </c>
      <c r="M1303" s="7" t="s">
        <v>263</v>
      </c>
      <c r="N1303" s="7" t="s">
        <v>260</v>
      </c>
      <c r="O1303" s="7"/>
      <c r="P1303" s="37"/>
      <c r="Q1303" s="7"/>
    </row>
    <row r="1304">
      <c r="A1304" s="7">
        <v>1299.0</v>
      </c>
      <c r="B1304" s="7" t="s">
        <v>371</v>
      </c>
      <c r="C1304" s="7" t="str">
        <f>IFERROR(__xludf.DUMMYFUNCTION("GOOGLETRANSLATE($B1304, $A$2, $B$2)"),"Straight")</f>
        <v>Straight</v>
      </c>
      <c r="D1304" s="7" t="s">
        <v>2314</v>
      </c>
      <c r="E1304" s="7" t="s">
        <v>348</v>
      </c>
      <c r="F1304" s="7" t="s">
        <v>260</v>
      </c>
      <c r="G1304" s="7" t="s">
        <v>260</v>
      </c>
      <c r="H1304" s="7" t="s">
        <v>261</v>
      </c>
      <c r="I1304" s="7" t="s">
        <v>261</v>
      </c>
      <c r="J1304" s="7" t="str">
        <f>IFERROR(__xludf.DUMMYFUNCTION("GOOGLETRANSLATE($I1304, ""de"", ""en"")"),"NO SALARY DATA")</f>
        <v>NO SALARY DATA</v>
      </c>
      <c r="K1304" s="7" t="s">
        <v>261</v>
      </c>
      <c r="L1304" s="7" t="s">
        <v>694</v>
      </c>
      <c r="M1304" s="7" t="s">
        <v>263</v>
      </c>
      <c r="N1304" s="7" t="s">
        <v>260</v>
      </c>
      <c r="O1304" s="7"/>
      <c r="P1304" s="37"/>
      <c r="Q1304" s="7"/>
    </row>
    <row r="1305">
      <c r="A1305" s="7">
        <v>1300.0</v>
      </c>
      <c r="B1305" s="7" t="s">
        <v>559</v>
      </c>
      <c r="C1305" s="7" t="str">
        <f>IFERROR(__xludf.DUMMYFUNCTION("GOOGLETRANSLATE($B1305, $A$2, $B$2)"),"18 days ago")</f>
        <v>18 days ago</v>
      </c>
      <c r="D1305" s="7" t="s">
        <v>2315</v>
      </c>
      <c r="E1305" s="7" t="s">
        <v>683</v>
      </c>
      <c r="F1305" s="7" t="s">
        <v>260</v>
      </c>
      <c r="G1305" s="7" t="s">
        <v>260</v>
      </c>
      <c r="H1305" s="7" t="s">
        <v>261</v>
      </c>
      <c r="I1305" s="7" t="s">
        <v>261</v>
      </c>
      <c r="J1305" s="7" t="str">
        <f>IFERROR(__xludf.DUMMYFUNCTION("GOOGLETRANSLATE($I1305, ""de"", ""en"")"),"NO SALARY DATA")</f>
        <v>NO SALARY DATA</v>
      </c>
      <c r="K1305" s="7" t="s">
        <v>261</v>
      </c>
      <c r="L1305" s="7"/>
      <c r="M1305" s="7" t="s">
        <v>263</v>
      </c>
      <c r="N1305" s="7" t="s">
        <v>260</v>
      </c>
      <c r="O1305" s="7"/>
      <c r="P1305" s="37"/>
      <c r="Q1305" s="7"/>
    </row>
    <row r="1306">
      <c r="A1306" s="7">
        <v>1301.0</v>
      </c>
      <c r="B1306" s="7" t="s">
        <v>265</v>
      </c>
      <c r="C1306" s="7" t="str">
        <f>IFERROR(__xludf.DUMMYFUNCTION("GOOGLETRANSLATE($B1306, $A$2, $B$2)"),"More than 30 days ago")</f>
        <v>More than 30 days ago</v>
      </c>
      <c r="D1306" s="7" t="s">
        <v>2316</v>
      </c>
      <c r="E1306" s="7" t="s">
        <v>258</v>
      </c>
      <c r="F1306" s="7" t="s">
        <v>260</v>
      </c>
      <c r="G1306" s="7" t="s">
        <v>260</v>
      </c>
      <c r="H1306" s="7" t="s">
        <v>261</v>
      </c>
      <c r="I1306" s="7" t="s">
        <v>261</v>
      </c>
      <c r="J1306" s="7" t="str">
        <f>IFERROR(__xludf.DUMMYFUNCTION("GOOGLETRANSLATE($I1306, ""de"", ""en"")"),"NO SALARY DATA")</f>
        <v>NO SALARY DATA</v>
      </c>
      <c r="K1306" s="7" t="s">
        <v>261</v>
      </c>
      <c r="L1306" s="7"/>
      <c r="M1306" s="7" t="s">
        <v>263</v>
      </c>
      <c r="N1306" s="7" t="s">
        <v>260</v>
      </c>
      <c r="O1306" s="7"/>
      <c r="P1306" s="37"/>
      <c r="Q1306" s="7"/>
    </row>
    <row r="1307">
      <c r="A1307" s="7">
        <v>1302.0</v>
      </c>
      <c r="B1307" s="7" t="s">
        <v>302</v>
      </c>
      <c r="C1307" s="7" t="str">
        <f>IFERROR(__xludf.DUMMYFUNCTION("GOOGLETRANSLATE($B1307, $A$2, $B$2)"),"today")</f>
        <v>today</v>
      </c>
      <c r="D1307" s="7" t="s">
        <v>2317</v>
      </c>
      <c r="E1307" s="7" t="s">
        <v>401</v>
      </c>
      <c r="F1307" s="7" t="s">
        <v>260</v>
      </c>
      <c r="G1307" s="7" t="s">
        <v>260</v>
      </c>
      <c r="H1307" s="7" t="s">
        <v>261</v>
      </c>
      <c r="I1307" s="7" t="s">
        <v>261</v>
      </c>
      <c r="J1307" s="7" t="str">
        <f>IFERROR(__xludf.DUMMYFUNCTION("GOOGLETRANSLATE($I1307, ""de"", ""en"")"),"NO SALARY DATA")</f>
        <v>NO SALARY DATA</v>
      </c>
      <c r="K1307" s="7" t="s">
        <v>261</v>
      </c>
      <c r="L1307" s="7" t="s">
        <v>423</v>
      </c>
      <c r="M1307" s="7" t="s">
        <v>263</v>
      </c>
      <c r="N1307" s="7" t="s">
        <v>260</v>
      </c>
      <c r="O1307" s="7"/>
      <c r="P1307" s="35"/>
      <c r="Q1307" s="7"/>
    </row>
    <row r="1308">
      <c r="A1308" s="7">
        <v>1303.0</v>
      </c>
      <c r="B1308" s="7" t="s">
        <v>265</v>
      </c>
      <c r="C1308" s="7" t="str">
        <f>IFERROR(__xludf.DUMMYFUNCTION("GOOGLETRANSLATE($B1308, $A$2, $B$2)"),"More than 30 days ago")</f>
        <v>More than 30 days ago</v>
      </c>
      <c r="D1308" s="7" t="s">
        <v>2256</v>
      </c>
      <c r="E1308" s="7" t="s">
        <v>401</v>
      </c>
      <c r="F1308" s="7" t="s">
        <v>2239</v>
      </c>
      <c r="G1308" s="7" t="s">
        <v>260</v>
      </c>
      <c r="H1308" s="7" t="s">
        <v>261</v>
      </c>
      <c r="I1308" s="7" t="s">
        <v>261</v>
      </c>
      <c r="J1308" s="7" t="str">
        <f>IFERROR(__xludf.DUMMYFUNCTION("GOOGLETRANSLATE($I1308, ""de"", ""en"")"),"NO SALARY DATA")</f>
        <v>NO SALARY DATA</v>
      </c>
      <c r="K1308" s="7" t="s">
        <v>261</v>
      </c>
      <c r="L1308" s="7" t="s">
        <v>562</v>
      </c>
      <c r="M1308" s="7" t="s">
        <v>263</v>
      </c>
      <c r="N1308" s="7" t="s">
        <v>473</v>
      </c>
      <c r="O1308" s="7"/>
      <c r="P1308" s="37"/>
      <c r="Q1308" s="7"/>
    </row>
    <row r="1309">
      <c r="A1309" s="7">
        <v>1304.0</v>
      </c>
      <c r="B1309" s="7" t="s">
        <v>265</v>
      </c>
      <c r="C1309" s="7" t="str">
        <f>IFERROR(__xludf.DUMMYFUNCTION("GOOGLETRANSLATE($B1309, $A$2, $B$2)"),"More than 30 days ago")</f>
        <v>More than 30 days ago</v>
      </c>
      <c r="D1309" s="7" t="s">
        <v>2318</v>
      </c>
      <c r="E1309" s="7" t="s">
        <v>405</v>
      </c>
      <c r="F1309" s="7" t="s">
        <v>260</v>
      </c>
      <c r="G1309" s="7" t="s">
        <v>260</v>
      </c>
      <c r="H1309" s="7" t="s">
        <v>261</v>
      </c>
      <c r="I1309" s="7" t="s">
        <v>261</v>
      </c>
      <c r="J1309" s="7" t="str">
        <f>IFERROR(__xludf.DUMMYFUNCTION("GOOGLETRANSLATE($I1309, ""de"", ""en"")"),"NO SALARY DATA")</f>
        <v>NO SALARY DATA</v>
      </c>
      <c r="K1309" s="7" t="s">
        <v>261</v>
      </c>
      <c r="L1309" s="7"/>
      <c r="M1309" s="7" t="s">
        <v>263</v>
      </c>
      <c r="N1309" s="7" t="s">
        <v>260</v>
      </c>
      <c r="O1309" s="7"/>
      <c r="P1309" s="37"/>
      <c r="Q1309" s="7"/>
    </row>
    <row r="1310">
      <c r="A1310" s="7">
        <v>1305.0</v>
      </c>
      <c r="B1310" s="7" t="s">
        <v>256</v>
      </c>
      <c r="C1310" s="7" t="str">
        <f>IFERROR(__xludf.DUMMYFUNCTION("GOOGLETRANSLATE($B1310, $A$2, $B$2)"),"7 days ago")</f>
        <v>7 days ago</v>
      </c>
      <c r="D1310" s="7" t="s">
        <v>2319</v>
      </c>
      <c r="E1310" s="7" t="s">
        <v>539</v>
      </c>
      <c r="F1310" s="7" t="s">
        <v>260</v>
      </c>
      <c r="G1310" s="7" t="s">
        <v>260</v>
      </c>
      <c r="H1310" s="7" t="s">
        <v>261</v>
      </c>
      <c r="I1310" s="7" t="s">
        <v>261</v>
      </c>
      <c r="J1310" s="7" t="str">
        <f>IFERROR(__xludf.DUMMYFUNCTION("GOOGLETRANSLATE($I1310, ""de"", ""en"")"),"NO SALARY DATA")</f>
        <v>NO SALARY DATA</v>
      </c>
      <c r="K1310" s="7" t="s">
        <v>261</v>
      </c>
      <c r="L1310" s="7"/>
      <c r="M1310" s="7" t="s">
        <v>263</v>
      </c>
      <c r="N1310" s="7" t="s">
        <v>260</v>
      </c>
      <c r="O1310" s="7"/>
      <c r="P1310" s="37"/>
      <c r="Q1310" s="7"/>
    </row>
    <row r="1311">
      <c r="A1311" s="7">
        <v>1306.0</v>
      </c>
      <c r="B1311" s="7" t="s">
        <v>346</v>
      </c>
      <c r="C1311" s="7" t="str">
        <f>IFERROR(__xludf.DUMMYFUNCTION("GOOGLETRANSLATE($B1311, $A$2, $B$2)"),"12 days ago")</f>
        <v>12 days ago</v>
      </c>
      <c r="D1311" s="7" t="s">
        <v>2320</v>
      </c>
      <c r="E1311" s="7" t="s">
        <v>271</v>
      </c>
      <c r="F1311" s="7" t="s">
        <v>260</v>
      </c>
      <c r="G1311" s="7" t="s">
        <v>260</v>
      </c>
      <c r="H1311" s="7" t="s">
        <v>261</v>
      </c>
      <c r="I1311" s="7" t="s">
        <v>261</v>
      </c>
      <c r="J1311" s="7" t="str">
        <f>IFERROR(__xludf.DUMMYFUNCTION("GOOGLETRANSLATE($I1311, ""de"", ""en"")"),"NO SALARY DATA")</f>
        <v>NO SALARY DATA</v>
      </c>
      <c r="K1311" s="7" t="s">
        <v>261</v>
      </c>
      <c r="L1311" s="7" t="s">
        <v>585</v>
      </c>
      <c r="M1311" s="7" t="s">
        <v>673</v>
      </c>
      <c r="N1311" s="7" t="s">
        <v>260</v>
      </c>
      <c r="O1311" s="7"/>
      <c r="P1311" s="37"/>
      <c r="Q1311" s="7"/>
    </row>
    <row r="1312">
      <c r="A1312" s="7">
        <v>1307.0</v>
      </c>
      <c r="B1312" s="7" t="s">
        <v>1271</v>
      </c>
      <c r="C1312" s="7" t="str">
        <f>IFERROR(__xludf.DUMMYFUNCTION("GOOGLETRANSLATE($B1312, $A$2, $B$2)"),"27 days ago")</f>
        <v>27 days ago</v>
      </c>
      <c r="D1312" s="7" t="s">
        <v>2321</v>
      </c>
      <c r="E1312" s="7" t="s">
        <v>280</v>
      </c>
      <c r="F1312" s="7" t="s">
        <v>260</v>
      </c>
      <c r="G1312" s="7" t="s">
        <v>260</v>
      </c>
      <c r="H1312" s="7" t="s">
        <v>261</v>
      </c>
      <c r="I1312" s="7" t="s">
        <v>261</v>
      </c>
      <c r="J1312" s="7" t="str">
        <f>IFERROR(__xludf.DUMMYFUNCTION("GOOGLETRANSLATE($I1312, ""de"", ""en"")"),"NO SALARY DATA")</f>
        <v>NO SALARY DATA</v>
      </c>
      <c r="K1312" s="7" t="s">
        <v>261</v>
      </c>
      <c r="L1312" s="7"/>
      <c r="M1312" s="7" t="s">
        <v>263</v>
      </c>
      <c r="N1312" s="7" t="s">
        <v>260</v>
      </c>
      <c r="O1312" s="7"/>
      <c r="P1312" s="37"/>
      <c r="Q1312" s="7"/>
    </row>
    <row r="1313">
      <c r="A1313" s="7">
        <v>1308.0</v>
      </c>
      <c r="B1313" s="7" t="s">
        <v>469</v>
      </c>
      <c r="C1313" s="7" t="str">
        <f>IFERROR(__xludf.DUMMYFUNCTION("GOOGLETRANSLATE($B1313, $A$2, $B$2)"),"19 days ago")</f>
        <v>19 days ago</v>
      </c>
      <c r="D1313" s="7" t="s">
        <v>2322</v>
      </c>
      <c r="E1313" s="7" t="s">
        <v>348</v>
      </c>
      <c r="F1313" s="7" t="s">
        <v>260</v>
      </c>
      <c r="G1313" s="7" t="s">
        <v>260</v>
      </c>
      <c r="H1313" s="7" t="s">
        <v>261</v>
      </c>
      <c r="I1313" s="7" t="s">
        <v>261</v>
      </c>
      <c r="J1313" s="7" t="str">
        <f>IFERROR(__xludf.DUMMYFUNCTION("GOOGLETRANSLATE($I1313, ""de"", ""en"")"),"NO SALARY DATA")</f>
        <v>NO SALARY DATA</v>
      </c>
      <c r="K1313" s="7" t="s">
        <v>261</v>
      </c>
      <c r="L1313" s="7"/>
      <c r="M1313" s="7" t="s">
        <v>263</v>
      </c>
      <c r="N1313" s="7" t="s">
        <v>260</v>
      </c>
      <c r="O1313" s="7"/>
      <c r="P1313" s="37"/>
      <c r="Q1313" s="7"/>
    </row>
    <row r="1314">
      <c r="A1314" s="7">
        <v>1309.0</v>
      </c>
      <c r="B1314" s="7" t="s">
        <v>637</v>
      </c>
      <c r="C1314" s="7" t="str">
        <f>IFERROR(__xludf.DUMMYFUNCTION("GOOGLETRANSLATE($B1314, $A$2, $B$2)"),"17 days ago")</f>
        <v>17 days ago</v>
      </c>
      <c r="D1314" s="7" t="s">
        <v>2323</v>
      </c>
      <c r="E1314" s="7" t="s">
        <v>539</v>
      </c>
      <c r="F1314" s="7" t="s">
        <v>260</v>
      </c>
      <c r="G1314" s="7" t="s">
        <v>260</v>
      </c>
      <c r="H1314" s="7" t="s">
        <v>261</v>
      </c>
      <c r="I1314" s="7" t="s">
        <v>261</v>
      </c>
      <c r="J1314" s="7" t="str">
        <f>IFERROR(__xludf.DUMMYFUNCTION("GOOGLETRANSLATE($I1314, ""de"", ""en"")"),"NO SALARY DATA")</f>
        <v>NO SALARY DATA</v>
      </c>
      <c r="K1314" s="7" t="s">
        <v>261</v>
      </c>
      <c r="L1314" s="7" t="s">
        <v>2324</v>
      </c>
      <c r="M1314" s="7" t="s">
        <v>263</v>
      </c>
      <c r="N1314" s="7" t="s">
        <v>260</v>
      </c>
      <c r="O1314" s="7"/>
      <c r="P1314" s="37"/>
      <c r="Q1314" s="7"/>
    </row>
    <row r="1315">
      <c r="A1315" s="7">
        <v>1310.0</v>
      </c>
      <c r="B1315" s="7" t="s">
        <v>324</v>
      </c>
      <c r="C1315" s="7" t="str">
        <f>IFERROR(__xludf.DUMMYFUNCTION("GOOGLETRANSLATE($B1315, $A$2, $B$2)"),"3 days ago")</f>
        <v>3 days ago</v>
      </c>
      <c r="D1315" s="7" t="s">
        <v>2325</v>
      </c>
      <c r="E1315" s="7" t="s">
        <v>368</v>
      </c>
      <c r="F1315" s="7" t="s">
        <v>260</v>
      </c>
      <c r="G1315" s="7" t="s">
        <v>260</v>
      </c>
      <c r="H1315" s="7" t="s">
        <v>261</v>
      </c>
      <c r="I1315" s="7" t="s">
        <v>261</v>
      </c>
      <c r="J1315" s="7" t="str">
        <f>IFERROR(__xludf.DUMMYFUNCTION("GOOGLETRANSLATE($I1315, ""de"", ""en"")"),"NO SALARY DATA")</f>
        <v>NO SALARY DATA</v>
      </c>
      <c r="K1315" s="7" t="s">
        <v>261</v>
      </c>
      <c r="L1315" s="7" t="s">
        <v>429</v>
      </c>
      <c r="M1315" s="7" t="s">
        <v>263</v>
      </c>
      <c r="N1315" s="7" t="s">
        <v>260</v>
      </c>
      <c r="O1315" s="7"/>
      <c r="P1315" s="37"/>
      <c r="Q1315" s="7"/>
    </row>
    <row r="1316">
      <c r="A1316" s="7">
        <v>1311.0</v>
      </c>
      <c r="B1316" s="7" t="s">
        <v>637</v>
      </c>
      <c r="C1316" s="7" t="str">
        <f>IFERROR(__xludf.DUMMYFUNCTION("GOOGLETRANSLATE($B1316, $A$2, $B$2)"),"17 days ago")</f>
        <v>17 days ago</v>
      </c>
      <c r="D1316" s="7" t="s">
        <v>2326</v>
      </c>
      <c r="E1316" s="7" t="s">
        <v>271</v>
      </c>
      <c r="F1316" s="7" t="s">
        <v>260</v>
      </c>
      <c r="G1316" s="7" t="s">
        <v>260</v>
      </c>
      <c r="H1316" s="7" t="s">
        <v>261</v>
      </c>
      <c r="I1316" s="7" t="s">
        <v>261</v>
      </c>
      <c r="J1316" s="7" t="str">
        <f>IFERROR(__xludf.DUMMYFUNCTION("GOOGLETRANSLATE($I1316, ""de"", ""en"")"),"NO SALARY DATA")</f>
        <v>NO SALARY DATA</v>
      </c>
      <c r="K1316" s="7" t="s">
        <v>261</v>
      </c>
      <c r="L1316" s="7"/>
      <c r="M1316" s="7" t="s">
        <v>263</v>
      </c>
      <c r="N1316" s="7" t="s">
        <v>260</v>
      </c>
      <c r="O1316" s="7"/>
      <c r="P1316" s="37"/>
      <c r="Q1316" s="7"/>
    </row>
    <row r="1317">
      <c r="A1317" s="7">
        <v>1312.0</v>
      </c>
      <c r="B1317" s="7" t="s">
        <v>269</v>
      </c>
      <c r="C1317" s="7" t="str">
        <f>IFERROR(__xludf.DUMMYFUNCTION("GOOGLETRANSLATE($B1317, $A$2, $B$2)"),"5 days ago")</f>
        <v>5 days ago</v>
      </c>
      <c r="D1317" s="7" t="s">
        <v>2327</v>
      </c>
      <c r="E1317" s="7" t="s">
        <v>401</v>
      </c>
      <c r="F1317" s="7" t="s">
        <v>260</v>
      </c>
      <c r="G1317" s="7" t="s">
        <v>260</v>
      </c>
      <c r="H1317" s="7" t="s">
        <v>261</v>
      </c>
      <c r="I1317" s="7" t="s">
        <v>261</v>
      </c>
      <c r="J1317" s="7" t="str">
        <f>IFERROR(__xludf.DUMMYFUNCTION("GOOGLETRANSLATE($I1317, ""de"", ""en"")"),"NO SALARY DATA")</f>
        <v>NO SALARY DATA</v>
      </c>
      <c r="K1317" s="7" t="s">
        <v>261</v>
      </c>
      <c r="L1317" s="7"/>
      <c r="M1317" s="7" t="s">
        <v>263</v>
      </c>
      <c r="N1317" s="7" t="s">
        <v>260</v>
      </c>
      <c r="O1317" s="7"/>
      <c r="P1317" s="37"/>
      <c r="Q1317" s="7"/>
    </row>
    <row r="1318">
      <c r="A1318" s="7">
        <v>1313.0</v>
      </c>
      <c r="B1318" s="7" t="s">
        <v>341</v>
      </c>
      <c r="C1318" s="7" t="str">
        <f>IFERROR(__xludf.DUMMYFUNCTION("GOOGLETRANSLATE($B1318, $A$2, $B$2)"),"before 14 days")</f>
        <v>before 14 days</v>
      </c>
      <c r="D1318" s="7" t="s">
        <v>2203</v>
      </c>
      <c r="E1318" s="7" t="s">
        <v>271</v>
      </c>
      <c r="F1318" s="7" t="s">
        <v>260</v>
      </c>
      <c r="G1318" s="7" t="s">
        <v>260</v>
      </c>
      <c r="H1318" s="7" t="s">
        <v>261</v>
      </c>
      <c r="I1318" s="7" t="s">
        <v>261</v>
      </c>
      <c r="J1318" s="7" t="str">
        <f>IFERROR(__xludf.DUMMYFUNCTION("GOOGLETRANSLATE($I1318, ""de"", ""en"")"),"NO SALARY DATA")</f>
        <v>NO SALARY DATA</v>
      </c>
      <c r="K1318" s="7" t="s">
        <v>261</v>
      </c>
      <c r="L1318" s="7" t="s">
        <v>782</v>
      </c>
      <c r="M1318" s="7" t="s">
        <v>263</v>
      </c>
      <c r="N1318" s="7" t="s">
        <v>260</v>
      </c>
      <c r="O1318" s="7"/>
      <c r="P1318" s="37"/>
      <c r="Q1318" s="7"/>
    </row>
    <row r="1319">
      <c r="A1319" s="7">
        <v>1314.0</v>
      </c>
      <c r="B1319" s="7" t="s">
        <v>346</v>
      </c>
      <c r="C1319" s="7" t="str">
        <f>IFERROR(__xludf.DUMMYFUNCTION("GOOGLETRANSLATE($B1319, $A$2, $B$2)"),"12 days ago")</f>
        <v>12 days ago</v>
      </c>
      <c r="D1319" s="7" t="s">
        <v>2328</v>
      </c>
      <c r="E1319" s="7" t="s">
        <v>683</v>
      </c>
      <c r="F1319" s="7" t="s">
        <v>260</v>
      </c>
      <c r="G1319" s="7" t="s">
        <v>260</v>
      </c>
      <c r="H1319" s="7" t="s">
        <v>261</v>
      </c>
      <c r="I1319" s="7" t="s">
        <v>261</v>
      </c>
      <c r="J1319" s="7" t="str">
        <f>IFERROR(__xludf.DUMMYFUNCTION("GOOGLETRANSLATE($I1319, ""de"", ""en"")"),"NO SALARY DATA")</f>
        <v>NO SALARY DATA</v>
      </c>
      <c r="K1319" s="7" t="s">
        <v>261</v>
      </c>
      <c r="L1319" s="7"/>
      <c r="M1319" s="7" t="s">
        <v>263</v>
      </c>
      <c r="N1319" s="7" t="s">
        <v>260</v>
      </c>
      <c r="O1319" s="7"/>
      <c r="P1319" s="37"/>
      <c r="Q1319" s="7"/>
    </row>
    <row r="1320">
      <c r="A1320" s="7">
        <v>1315.0</v>
      </c>
      <c r="B1320" s="7" t="s">
        <v>265</v>
      </c>
      <c r="C1320" s="7" t="str">
        <f>IFERROR(__xludf.DUMMYFUNCTION("GOOGLETRANSLATE($B1320, $A$2, $B$2)"),"More than 30 days ago")</f>
        <v>More than 30 days ago</v>
      </c>
      <c r="D1320" s="7" t="s">
        <v>2329</v>
      </c>
      <c r="E1320" s="7" t="s">
        <v>271</v>
      </c>
      <c r="F1320" s="7" t="s">
        <v>2330</v>
      </c>
      <c r="G1320" s="7" t="s">
        <v>260</v>
      </c>
      <c r="H1320" s="7" t="s">
        <v>261</v>
      </c>
      <c r="I1320" s="7" t="s">
        <v>261</v>
      </c>
      <c r="J1320" s="7" t="str">
        <f>IFERROR(__xludf.DUMMYFUNCTION("GOOGLETRANSLATE($I1320, ""de"", ""en"")"),"NO SALARY DATA")</f>
        <v>NO SALARY DATA</v>
      </c>
      <c r="K1320" s="7" t="s">
        <v>261</v>
      </c>
      <c r="L1320" s="7" t="s">
        <v>838</v>
      </c>
      <c r="M1320" s="7" t="s">
        <v>263</v>
      </c>
      <c r="N1320" s="7" t="s">
        <v>260</v>
      </c>
      <c r="O1320" s="7"/>
      <c r="P1320" s="37"/>
      <c r="Q1320" s="7"/>
    </row>
    <row r="1321">
      <c r="A1321" s="7">
        <v>1316.0</v>
      </c>
      <c r="B1321" s="7" t="s">
        <v>265</v>
      </c>
      <c r="C1321" s="7" t="str">
        <f>IFERROR(__xludf.DUMMYFUNCTION("GOOGLETRANSLATE($B1321, $A$2, $B$2)"),"More than 30 days ago")</f>
        <v>More than 30 days ago</v>
      </c>
      <c r="D1321" s="7" t="s">
        <v>2331</v>
      </c>
      <c r="E1321" s="7" t="s">
        <v>348</v>
      </c>
      <c r="F1321" s="7" t="s">
        <v>2332</v>
      </c>
      <c r="G1321" s="7" t="s">
        <v>260</v>
      </c>
      <c r="H1321" s="7" t="s">
        <v>261</v>
      </c>
      <c r="I1321" s="7" t="s">
        <v>261</v>
      </c>
      <c r="J1321" s="7" t="str">
        <f>IFERROR(__xludf.DUMMYFUNCTION("GOOGLETRANSLATE($I1321, ""de"", ""en"")"),"NO SALARY DATA")</f>
        <v>NO SALARY DATA</v>
      </c>
      <c r="K1321" s="7" t="s">
        <v>261</v>
      </c>
      <c r="L1321" s="7" t="s">
        <v>790</v>
      </c>
      <c r="M1321" s="7" t="s">
        <v>263</v>
      </c>
      <c r="N1321" s="7" t="s">
        <v>260</v>
      </c>
      <c r="O1321" s="7"/>
      <c r="P1321" s="35"/>
      <c r="Q1321" s="7"/>
    </row>
    <row r="1322">
      <c r="A1322" s="7">
        <v>1317.0</v>
      </c>
      <c r="B1322" s="7" t="s">
        <v>265</v>
      </c>
      <c r="C1322" s="7" t="str">
        <f>IFERROR(__xludf.DUMMYFUNCTION("GOOGLETRANSLATE($B1322, $A$2, $B$2)"),"More than 30 days ago")</f>
        <v>More than 30 days ago</v>
      </c>
      <c r="D1322" s="7" t="s">
        <v>2333</v>
      </c>
      <c r="E1322" s="7" t="s">
        <v>258</v>
      </c>
      <c r="F1322" s="7" t="s">
        <v>2334</v>
      </c>
      <c r="G1322" s="7" t="s">
        <v>260</v>
      </c>
      <c r="H1322" s="7" t="s">
        <v>261</v>
      </c>
      <c r="I1322" s="7" t="s">
        <v>261</v>
      </c>
      <c r="J1322" s="7" t="str">
        <f>IFERROR(__xludf.DUMMYFUNCTION("GOOGLETRANSLATE($I1322, ""de"", ""en"")"),"NO SALARY DATA")</f>
        <v>NO SALARY DATA</v>
      </c>
      <c r="K1322" s="7" t="s">
        <v>261</v>
      </c>
      <c r="L1322" s="7" t="s">
        <v>282</v>
      </c>
      <c r="M1322" s="7" t="s">
        <v>263</v>
      </c>
      <c r="N1322" s="7" t="s">
        <v>331</v>
      </c>
      <c r="O1322" s="7"/>
      <c r="P1322" s="37"/>
      <c r="Q1322" s="7"/>
    </row>
    <row r="1323">
      <c r="A1323" s="7">
        <v>1318.0</v>
      </c>
      <c r="B1323" s="7" t="s">
        <v>346</v>
      </c>
      <c r="C1323" s="7" t="str">
        <f>IFERROR(__xludf.DUMMYFUNCTION("GOOGLETRANSLATE($B1323, $A$2, $B$2)"),"12 days ago")</f>
        <v>12 days ago</v>
      </c>
      <c r="D1323" s="7" t="s">
        <v>2335</v>
      </c>
      <c r="E1323" s="7" t="s">
        <v>1273</v>
      </c>
      <c r="F1323" s="7" t="s">
        <v>260</v>
      </c>
      <c r="G1323" s="7" t="s">
        <v>260</v>
      </c>
      <c r="H1323" s="7" t="s">
        <v>261</v>
      </c>
      <c r="I1323" s="7" t="s">
        <v>261</v>
      </c>
      <c r="J1323" s="7" t="str">
        <f>IFERROR(__xludf.DUMMYFUNCTION("GOOGLETRANSLATE($I1323, ""de"", ""en"")"),"NO SALARY DATA")</f>
        <v>NO SALARY DATA</v>
      </c>
      <c r="K1323" s="7" t="s">
        <v>261</v>
      </c>
      <c r="L1323" s="7" t="s">
        <v>286</v>
      </c>
      <c r="M1323" s="7" t="s">
        <v>263</v>
      </c>
      <c r="N1323" s="7" t="s">
        <v>260</v>
      </c>
      <c r="O1323" s="7"/>
      <c r="P1323" s="37"/>
      <c r="Q1323" s="7"/>
    </row>
    <row r="1324">
      <c r="A1324" s="7">
        <v>1319.0</v>
      </c>
      <c r="B1324" s="7" t="s">
        <v>324</v>
      </c>
      <c r="C1324" s="7" t="str">
        <f>IFERROR(__xludf.DUMMYFUNCTION("GOOGLETRANSLATE($B1324, $A$2, $B$2)"),"3 days ago")</f>
        <v>3 days ago</v>
      </c>
      <c r="D1324" s="7" t="s">
        <v>1972</v>
      </c>
      <c r="E1324" s="7" t="s">
        <v>280</v>
      </c>
      <c r="F1324" s="7" t="s">
        <v>1973</v>
      </c>
      <c r="G1324" s="7" t="s">
        <v>260</v>
      </c>
      <c r="H1324" s="7" t="s">
        <v>261</v>
      </c>
      <c r="I1324" s="7" t="s">
        <v>261</v>
      </c>
      <c r="J1324" s="7" t="str">
        <f>IFERROR(__xludf.DUMMYFUNCTION("GOOGLETRANSLATE($I1324, ""de"", ""en"")"),"NO SALARY DATA")</f>
        <v>NO SALARY DATA</v>
      </c>
      <c r="K1324" s="7" t="s">
        <v>261</v>
      </c>
      <c r="L1324" s="7" t="s">
        <v>423</v>
      </c>
      <c r="M1324" s="7" t="s">
        <v>263</v>
      </c>
      <c r="N1324" s="7" t="s">
        <v>260</v>
      </c>
      <c r="O1324" s="7"/>
      <c r="P1324" s="37"/>
      <c r="Q1324" s="7"/>
    </row>
    <row r="1325">
      <c r="A1325" s="7">
        <v>1320.0</v>
      </c>
      <c r="B1325" s="7" t="s">
        <v>265</v>
      </c>
      <c r="C1325" s="7" t="str">
        <f>IFERROR(__xludf.DUMMYFUNCTION("GOOGLETRANSLATE($B1325, $A$2, $B$2)"),"More than 30 days ago")</f>
        <v>More than 30 days ago</v>
      </c>
      <c r="D1325" s="7" t="s">
        <v>2336</v>
      </c>
      <c r="E1325" s="7" t="s">
        <v>488</v>
      </c>
      <c r="F1325" s="7" t="s">
        <v>2337</v>
      </c>
      <c r="G1325" s="7" t="s">
        <v>260</v>
      </c>
      <c r="H1325" s="7" t="s">
        <v>261</v>
      </c>
      <c r="I1325" s="7" t="s">
        <v>261</v>
      </c>
      <c r="J1325" s="7" t="str">
        <f>IFERROR(__xludf.DUMMYFUNCTION("GOOGLETRANSLATE($I1325, ""de"", ""en"")"),"NO SALARY DATA")</f>
        <v>NO SALARY DATA</v>
      </c>
      <c r="K1325" s="7" t="s">
        <v>261</v>
      </c>
      <c r="L1325" s="7" t="s">
        <v>593</v>
      </c>
      <c r="M1325" s="7" t="s">
        <v>263</v>
      </c>
      <c r="N1325" s="7" t="s">
        <v>260</v>
      </c>
      <c r="O1325" s="7"/>
      <c r="P1325" s="37"/>
      <c r="Q1325" s="7"/>
    </row>
    <row r="1326">
      <c r="A1326" s="7">
        <v>1321.0</v>
      </c>
      <c r="B1326" s="7" t="s">
        <v>302</v>
      </c>
      <c r="C1326" s="7" t="str">
        <f>IFERROR(__xludf.DUMMYFUNCTION("GOOGLETRANSLATE($B1326, $A$2, $B$2)"),"today")</f>
        <v>today</v>
      </c>
      <c r="D1326" s="7" t="s">
        <v>2338</v>
      </c>
      <c r="E1326" s="7" t="s">
        <v>271</v>
      </c>
      <c r="F1326" s="7" t="s">
        <v>2339</v>
      </c>
      <c r="G1326" s="7" t="s">
        <v>260</v>
      </c>
      <c r="H1326" s="7" t="s">
        <v>261</v>
      </c>
      <c r="I1326" s="7" t="s">
        <v>261</v>
      </c>
      <c r="J1326" s="7" t="str">
        <f>IFERROR(__xludf.DUMMYFUNCTION("GOOGLETRANSLATE($I1326, ""de"", ""en"")"),"NO SALARY DATA")</f>
        <v>NO SALARY DATA</v>
      </c>
      <c r="K1326" s="7" t="s">
        <v>261</v>
      </c>
      <c r="L1326" s="7" t="s">
        <v>312</v>
      </c>
      <c r="M1326" s="7" t="s">
        <v>263</v>
      </c>
      <c r="N1326" s="7" t="s">
        <v>260</v>
      </c>
      <c r="O1326" s="7"/>
      <c r="P1326" s="37"/>
      <c r="Q1326" s="7"/>
    </row>
    <row r="1327">
      <c r="A1327" s="7">
        <v>1322.0</v>
      </c>
      <c r="B1327" s="7" t="s">
        <v>442</v>
      </c>
      <c r="C1327" s="7" t="str">
        <f>IFERROR(__xludf.DUMMYFUNCTION("GOOGLETRANSLATE($B1327, $A$2, $B$2)"),"26 days ago")</f>
        <v>26 days ago</v>
      </c>
      <c r="D1327" s="7" t="s">
        <v>2340</v>
      </c>
      <c r="E1327" s="7" t="s">
        <v>544</v>
      </c>
      <c r="F1327" s="7" t="s">
        <v>2341</v>
      </c>
      <c r="G1327" s="7" t="s">
        <v>260</v>
      </c>
      <c r="H1327" s="7" t="s">
        <v>261</v>
      </c>
      <c r="I1327" s="7" t="s">
        <v>261</v>
      </c>
      <c r="J1327" s="7" t="str">
        <f>IFERROR(__xludf.DUMMYFUNCTION("GOOGLETRANSLATE($I1327, ""de"", ""en"")"),"NO SALARY DATA")</f>
        <v>NO SALARY DATA</v>
      </c>
      <c r="K1327" s="7" t="s">
        <v>261</v>
      </c>
      <c r="L1327" s="7" t="s">
        <v>423</v>
      </c>
      <c r="M1327" s="7" t="s">
        <v>263</v>
      </c>
      <c r="N1327" s="7" t="s">
        <v>260</v>
      </c>
      <c r="O1327" s="7"/>
      <c r="P1327" s="37"/>
      <c r="Q1327" s="7"/>
    </row>
    <row r="1328">
      <c r="A1328" s="7">
        <v>1323.0</v>
      </c>
      <c r="B1328" s="7" t="s">
        <v>265</v>
      </c>
      <c r="C1328" s="7" t="str">
        <f>IFERROR(__xludf.DUMMYFUNCTION("GOOGLETRANSLATE($B1328, $A$2, $B$2)"),"More than 30 days ago")</f>
        <v>More than 30 days ago</v>
      </c>
      <c r="D1328" s="7" t="s">
        <v>1805</v>
      </c>
      <c r="E1328" s="7" t="s">
        <v>480</v>
      </c>
      <c r="F1328" s="7" t="s">
        <v>2342</v>
      </c>
      <c r="G1328" s="7" t="s">
        <v>260</v>
      </c>
      <c r="H1328" s="7" t="s">
        <v>261</v>
      </c>
      <c r="I1328" s="7" t="s">
        <v>261</v>
      </c>
      <c r="J1328" s="7" t="str">
        <f>IFERROR(__xludf.DUMMYFUNCTION("GOOGLETRANSLATE($I1328, ""de"", ""en"")"),"NO SALARY DATA")</f>
        <v>NO SALARY DATA</v>
      </c>
      <c r="K1328" s="7" t="s">
        <v>261</v>
      </c>
      <c r="L1328" s="7" t="s">
        <v>441</v>
      </c>
      <c r="M1328" s="7" t="s">
        <v>263</v>
      </c>
      <c r="N1328" s="7" t="s">
        <v>260</v>
      </c>
      <c r="O1328" s="7"/>
      <c r="P1328" s="37"/>
      <c r="Q1328" s="7"/>
    </row>
    <row r="1329">
      <c r="A1329" s="7">
        <v>1324.0</v>
      </c>
      <c r="B1329" s="7" t="s">
        <v>265</v>
      </c>
      <c r="C1329" s="7" t="str">
        <f>IFERROR(__xludf.DUMMYFUNCTION("GOOGLETRANSLATE($B1329, $A$2, $B$2)"),"More than 30 days ago")</f>
        <v>More than 30 days ago</v>
      </c>
      <c r="D1329" s="7" t="s">
        <v>2343</v>
      </c>
      <c r="E1329" s="7" t="s">
        <v>1982</v>
      </c>
      <c r="F1329" s="7" t="s">
        <v>2344</v>
      </c>
      <c r="G1329" s="7" t="s">
        <v>260</v>
      </c>
      <c r="H1329" s="7" t="s">
        <v>261</v>
      </c>
      <c r="I1329" s="7" t="s">
        <v>261</v>
      </c>
      <c r="J1329" s="7" t="str">
        <f>IFERROR(__xludf.DUMMYFUNCTION("GOOGLETRANSLATE($I1329, ""de"", ""en"")"),"NO SALARY DATA")</f>
        <v>NO SALARY DATA</v>
      </c>
      <c r="K1329" s="7" t="s">
        <v>261</v>
      </c>
      <c r="L1329" s="7" t="s">
        <v>286</v>
      </c>
      <c r="M1329" s="7" t="s">
        <v>263</v>
      </c>
      <c r="N1329" s="7" t="s">
        <v>260</v>
      </c>
      <c r="O1329" s="7"/>
      <c r="P1329" s="37"/>
      <c r="Q1329" s="7"/>
    </row>
    <row r="1330">
      <c r="A1330" s="7">
        <v>1325.0</v>
      </c>
      <c r="B1330" s="7" t="s">
        <v>265</v>
      </c>
      <c r="C1330" s="7" t="str">
        <f>IFERROR(__xludf.DUMMYFUNCTION("GOOGLETRANSLATE($B1330, $A$2, $B$2)"),"More than 30 days ago")</f>
        <v>More than 30 days ago</v>
      </c>
      <c r="D1330" s="7" t="s">
        <v>2345</v>
      </c>
      <c r="E1330" s="7" t="s">
        <v>280</v>
      </c>
      <c r="F1330" s="7" t="s">
        <v>2346</v>
      </c>
      <c r="G1330" s="7" t="s">
        <v>260</v>
      </c>
      <c r="H1330" s="7" t="s">
        <v>261</v>
      </c>
      <c r="I1330" s="7" t="s">
        <v>261</v>
      </c>
      <c r="J1330" s="7" t="str">
        <f>IFERROR(__xludf.DUMMYFUNCTION("GOOGLETRANSLATE($I1330, ""de"", ""en"")"),"NO SALARY DATA")</f>
        <v>NO SALARY DATA</v>
      </c>
      <c r="K1330" s="7" t="s">
        <v>261</v>
      </c>
      <c r="L1330" s="7" t="s">
        <v>321</v>
      </c>
      <c r="M1330" s="7" t="s">
        <v>263</v>
      </c>
      <c r="N1330" s="7" t="s">
        <v>260</v>
      </c>
      <c r="O1330" s="7"/>
      <c r="P1330" s="35"/>
      <c r="Q1330" s="7"/>
    </row>
    <row r="1331">
      <c r="A1331" s="7">
        <v>1326.0</v>
      </c>
      <c r="B1331" s="7" t="s">
        <v>302</v>
      </c>
      <c r="C1331" s="7" t="str">
        <f>IFERROR(__xludf.DUMMYFUNCTION("GOOGLETRANSLATE($B1331, $A$2, $B$2)"),"today")</f>
        <v>today</v>
      </c>
      <c r="D1331" s="7" t="s">
        <v>2347</v>
      </c>
      <c r="E1331" s="7" t="s">
        <v>529</v>
      </c>
      <c r="F1331" s="7" t="s">
        <v>2348</v>
      </c>
      <c r="G1331" s="7" t="s">
        <v>260</v>
      </c>
      <c r="H1331" s="7" t="s">
        <v>261</v>
      </c>
      <c r="I1331" s="7" t="s">
        <v>261</v>
      </c>
      <c r="J1331" s="7" t="str">
        <f>IFERROR(__xludf.DUMMYFUNCTION("GOOGLETRANSLATE($I1331, ""de"", ""en"")"),"NO SALARY DATA")</f>
        <v>NO SALARY DATA</v>
      </c>
      <c r="K1331" s="7" t="s">
        <v>261</v>
      </c>
      <c r="L1331" s="7" t="s">
        <v>643</v>
      </c>
      <c r="M1331" s="7" t="s">
        <v>263</v>
      </c>
      <c r="N1331" s="7" t="s">
        <v>532</v>
      </c>
      <c r="O1331" s="7"/>
      <c r="P1331" s="35"/>
      <c r="Q1331" s="7"/>
    </row>
    <row r="1332">
      <c r="A1332" s="7">
        <v>1327.0</v>
      </c>
      <c r="B1332" s="7" t="s">
        <v>265</v>
      </c>
      <c r="C1332" s="7" t="str">
        <f>IFERROR(__xludf.DUMMYFUNCTION("GOOGLETRANSLATE($B1332, $A$2, $B$2)"),"More than 30 days ago")</f>
        <v>More than 30 days ago</v>
      </c>
      <c r="D1332" s="7" t="s">
        <v>2349</v>
      </c>
      <c r="E1332" s="7" t="s">
        <v>258</v>
      </c>
      <c r="F1332" s="7" t="s">
        <v>2350</v>
      </c>
      <c r="G1332" s="7" t="s">
        <v>260</v>
      </c>
      <c r="H1332" s="7" t="s">
        <v>261</v>
      </c>
      <c r="I1332" s="7" t="s">
        <v>261</v>
      </c>
      <c r="J1332" s="7" t="str">
        <f>IFERROR(__xludf.DUMMYFUNCTION("GOOGLETRANSLATE($I1332, ""de"", ""en"")"),"NO SALARY DATA")</f>
        <v>NO SALARY DATA</v>
      </c>
      <c r="K1332" s="7" t="s">
        <v>261</v>
      </c>
      <c r="L1332" s="7" t="s">
        <v>1215</v>
      </c>
      <c r="M1332" s="7" t="s">
        <v>263</v>
      </c>
      <c r="N1332" s="7" t="s">
        <v>340</v>
      </c>
      <c r="O1332" s="7"/>
      <c r="P1332" s="35"/>
      <c r="Q1332" s="7"/>
    </row>
    <row r="1333">
      <c r="A1333" s="7">
        <v>1328.0</v>
      </c>
      <c r="B1333" s="7" t="s">
        <v>375</v>
      </c>
      <c r="C1333" s="7" t="str">
        <f>IFERROR(__xludf.DUMMYFUNCTION("GOOGLETRANSLATE($B1333, $A$2, $B$2)"),"6 days ago")</f>
        <v>6 days ago</v>
      </c>
      <c r="D1333" s="7" t="s">
        <v>2351</v>
      </c>
      <c r="E1333" s="7" t="s">
        <v>352</v>
      </c>
      <c r="F1333" s="7" t="s">
        <v>2352</v>
      </c>
      <c r="G1333" s="7" t="s">
        <v>260</v>
      </c>
      <c r="H1333" s="7" t="s">
        <v>261</v>
      </c>
      <c r="I1333" s="7" t="s">
        <v>261</v>
      </c>
      <c r="J1333" s="7" t="str">
        <f>IFERROR(__xludf.DUMMYFUNCTION("GOOGLETRANSLATE($I1333, ""de"", ""en"")"),"NO SALARY DATA")</f>
        <v>NO SALARY DATA</v>
      </c>
      <c r="K1333" s="7" t="s">
        <v>261</v>
      </c>
      <c r="L1333" s="7" t="s">
        <v>282</v>
      </c>
      <c r="M1333" s="7" t="s">
        <v>263</v>
      </c>
      <c r="N1333" s="7" t="s">
        <v>473</v>
      </c>
      <c r="O1333" s="7"/>
      <c r="P1333" s="37"/>
      <c r="Q1333" s="7"/>
    </row>
    <row r="1334">
      <c r="A1334" s="7">
        <v>1329.0</v>
      </c>
      <c r="B1334" s="7" t="s">
        <v>637</v>
      </c>
      <c r="C1334" s="7" t="str">
        <f>IFERROR(__xludf.DUMMYFUNCTION("GOOGLETRANSLATE($B1334, $A$2, $B$2)"),"17 days ago")</f>
        <v>17 days ago</v>
      </c>
      <c r="D1334" s="7" t="s">
        <v>2353</v>
      </c>
      <c r="E1334" s="7" t="s">
        <v>1325</v>
      </c>
      <c r="F1334" s="7" t="s">
        <v>2354</v>
      </c>
      <c r="G1334" s="7" t="s">
        <v>260</v>
      </c>
      <c r="H1334" s="7" t="s">
        <v>261</v>
      </c>
      <c r="I1334" s="7" t="s">
        <v>261</v>
      </c>
      <c r="J1334" s="7" t="str">
        <f>IFERROR(__xludf.DUMMYFUNCTION("GOOGLETRANSLATE($I1334, ""de"", ""en"")"),"NO SALARY DATA")</f>
        <v>NO SALARY DATA</v>
      </c>
      <c r="K1334" s="7" t="s">
        <v>261</v>
      </c>
      <c r="L1334" s="7" t="s">
        <v>286</v>
      </c>
      <c r="M1334" s="7" t="s">
        <v>263</v>
      </c>
      <c r="N1334" s="7" t="s">
        <v>260</v>
      </c>
      <c r="O1334" s="7"/>
      <c r="P1334" s="37"/>
      <c r="Q1334" s="7"/>
    </row>
    <row r="1335">
      <c r="A1335" s="7">
        <v>1330.0</v>
      </c>
      <c r="B1335" s="7" t="s">
        <v>265</v>
      </c>
      <c r="C1335" s="7" t="str">
        <f>IFERROR(__xludf.DUMMYFUNCTION("GOOGLETRANSLATE($B1335, $A$2, $B$2)"),"More than 30 days ago")</f>
        <v>More than 30 days ago</v>
      </c>
      <c r="D1335" s="7" t="s">
        <v>2355</v>
      </c>
      <c r="E1335" s="7" t="s">
        <v>271</v>
      </c>
      <c r="F1335" s="7" t="s">
        <v>2330</v>
      </c>
      <c r="G1335" s="7" t="s">
        <v>260</v>
      </c>
      <c r="H1335" s="7" t="s">
        <v>261</v>
      </c>
      <c r="I1335" s="7" t="s">
        <v>261</v>
      </c>
      <c r="J1335" s="7" t="str">
        <f>IFERROR(__xludf.DUMMYFUNCTION("GOOGLETRANSLATE($I1335, ""de"", ""en"")"),"NO SALARY DATA")</f>
        <v>NO SALARY DATA</v>
      </c>
      <c r="K1335" s="7" t="s">
        <v>261</v>
      </c>
      <c r="L1335" s="7" t="s">
        <v>433</v>
      </c>
      <c r="M1335" s="7" t="s">
        <v>263</v>
      </c>
      <c r="N1335" s="7" t="s">
        <v>260</v>
      </c>
      <c r="O1335" s="7"/>
      <c r="P1335" s="35"/>
      <c r="Q1335" s="7"/>
    </row>
    <row r="1336">
      <c r="A1336" s="7">
        <v>1331.0</v>
      </c>
      <c r="B1336" s="7" t="s">
        <v>469</v>
      </c>
      <c r="C1336" s="7" t="str">
        <f>IFERROR(__xludf.DUMMYFUNCTION("GOOGLETRANSLATE($B1336, $A$2, $B$2)"),"19 days ago")</f>
        <v>19 days ago</v>
      </c>
      <c r="D1336" s="7" t="s">
        <v>2356</v>
      </c>
      <c r="E1336" s="7" t="s">
        <v>258</v>
      </c>
      <c r="F1336" s="7" t="s">
        <v>2357</v>
      </c>
      <c r="G1336" s="7" t="s">
        <v>260</v>
      </c>
      <c r="H1336" s="7" t="s">
        <v>261</v>
      </c>
      <c r="I1336" s="7" t="s">
        <v>261</v>
      </c>
      <c r="J1336" s="7" t="str">
        <f>IFERROR(__xludf.DUMMYFUNCTION("GOOGLETRANSLATE($I1336, ""de"", ""en"")"),"NO SALARY DATA")</f>
        <v>NO SALARY DATA</v>
      </c>
      <c r="K1336" s="7" t="s">
        <v>261</v>
      </c>
      <c r="L1336" s="7" t="s">
        <v>286</v>
      </c>
      <c r="M1336" s="7" t="s">
        <v>263</v>
      </c>
      <c r="N1336" s="7" t="s">
        <v>301</v>
      </c>
      <c r="O1336" s="7"/>
      <c r="P1336" s="35"/>
      <c r="Q1336" s="7"/>
    </row>
    <row r="1337">
      <c r="A1337" s="7">
        <v>1332.0</v>
      </c>
      <c r="B1337" s="7" t="s">
        <v>265</v>
      </c>
      <c r="C1337" s="7" t="str">
        <f>IFERROR(__xludf.DUMMYFUNCTION("GOOGLETRANSLATE($B1337, $A$2, $B$2)"),"More than 30 days ago")</f>
        <v>More than 30 days ago</v>
      </c>
      <c r="D1337" s="7" t="s">
        <v>2358</v>
      </c>
      <c r="E1337" s="7" t="s">
        <v>702</v>
      </c>
      <c r="F1337" s="7" t="s">
        <v>2359</v>
      </c>
      <c r="G1337" s="7" t="s">
        <v>260</v>
      </c>
      <c r="H1337" s="7" t="s">
        <v>261</v>
      </c>
      <c r="I1337" s="7" t="s">
        <v>261</v>
      </c>
      <c r="J1337" s="7" t="str">
        <f>IFERROR(__xludf.DUMMYFUNCTION("GOOGLETRANSLATE($I1337, ""de"", ""en"")"),"NO SALARY DATA")</f>
        <v>NO SALARY DATA</v>
      </c>
      <c r="K1337" s="7" t="s">
        <v>261</v>
      </c>
      <c r="L1337" s="7" t="s">
        <v>286</v>
      </c>
      <c r="M1337" s="7" t="s">
        <v>263</v>
      </c>
      <c r="N1337" s="7" t="s">
        <v>275</v>
      </c>
      <c r="O1337" s="7"/>
      <c r="P1337" s="37"/>
      <c r="Q1337" s="7"/>
    </row>
    <row r="1338">
      <c r="A1338" s="7">
        <v>1333.0</v>
      </c>
      <c r="B1338" s="7" t="s">
        <v>265</v>
      </c>
      <c r="C1338" s="7" t="str">
        <f>IFERROR(__xludf.DUMMYFUNCTION("GOOGLETRANSLATE($B1338, $A$2, $B$2)"),"More than 30 days ago")</f>
        <v>More than 30 days ago</v>
      </c>
      <c r="D1338" s="7" t="s">
        <v>2360</v>
      </c>
      <c r="E1338" s="7" t="s">
        <v>258</v>
      </c>
      <c r="F1338" s="7" t="s">
        <v>260</v>
      </c>
      <c r="G1338" s="7" t="s">
        <v>260</v>
      </c>
      <c r="H1338" s="7" t="s">
        <v>261</v>
      </c>
      <c r="I1338" s="7" t="s">
        <v>261</v>
      </c>
      <c r="J1338" s="7" t="str">
        <f>IFERROR(__xludf.DUMMYFUNCTION("GOOGLETRANSLATE($I1338, ""de"", ""en"")"),"NO SALARY DATA")</f>
        <v>NO SALARY DATA</v>
      </c>
      <c r="K1338" s="7" t="s">
        <v>261</v>
      </c>
      <c r="L1338" s="7" t="s">
        <v>345</v>
      </c>
      <c r="M1338" s="7" t="s">
        <v>263</v>
      </c>
      <c r="N1338" s="7" t="s">
        <v>260</v>
      </c>
      <c r="O1338" s="7"/>
      <c r="P1338" s="37"/>
      <c r="Q1338" s="7"/>
    </row>
    <row r="1339">
      <c r="A1339" s="7">
        <v>1334.0</v>
      </c>
      <c r="B1339" s="7" t="s">
        <v>265</v>
      </c>
      <c r="C1339" s="7" t="str">
        <f>IFERROR(__xludf.DUMMYFUNCTION("GOOGLETRANSLATE($B1339, $A$2, $B$2)"),"More than 30 days ago")</f>
        <v>More than 30 days ago</v>
      </c>
      <c r="D1339" s="7" t="s">
        <v>2361</v>
      </c>
      <c r="E1339" s="7" t="s">
        <v>258</v>
      </c>
      <c r="F1339" s="7" t="s">
        <v>260</v>
      </c>
      <c r="G1339" s="7" t="s">
        <v>260</v>
      </c>
      <c r="H1339" s="7" t="s">
        <v>261</v>
      </c>
      <c r="I1339" s="7" t="s">
        <v>261</v>
      </c>
      <c r="J1339" s="7" t="str">
        <f>IFERROR(__xludf.DUMMYFUNCTION("GOOGLETRANSLATE($I1339, ""de"", ""en"")"),"NO SALARY DATA")</f>
        <v>NO SALARY DATA</v>
      </c>
      <c r="K1339" s="7" t="s">
        <v>261</v>
      </c>
      <c r="L1339" s="7" t="s">
        <v>345</v>
      </c>
      <c r="M1339" s="7" t="s">
        <v>673</v>
      </c>
      <c r="N1339" s="7" t="s">
        <v>260</v>
      </c>
      <c r="O1339" s="7"/>
      <c r="P1339" s="37"/>
      <c r="Q1339" s="7"/>
    </row>
    <row r="1340">
      <c r="A1340" s="7">
        <v>1335.0</v>
      </c>
      <c r="B1340" s="7" t="s">
        <v>332</v>
      </c>
      <c r="C1340" s="7" t="str">
        <f>IFERROR(__xludf.DUMMYFUNCTION("GOOGLETRANSLATE($B1340, $A$2, $B$2)"),"4 days ago")</f>
        <v>4 days ago</v>
      </c>
      <c r="D1340" s="7" t="s">
        <v>2362</v>
      </c>
      <c r="E1340" s="7" t="s">
        <v>1227</v>
      </c>
      <c r="F1340" s="7" t="s">
        <v>260</v>
      </c>
      <c r="G1340" s="7" t="s">
        <v>260</v>
      </c>
      <c r="H1340" s="7" t="s">
        <v>261</v>
      </c>
      <c r="I1340" s="7" t="s">
        <v>261</v>
      </c>
      <c r="J1340" s="7" t="str">
        <f>IFERROR(__xludf.DUMMYFUNCTION("GOOGLETRANSLATE($I1340, ""de"", ""en"")"),"NO SALARY DATA")</f>
        <v>NO SALARY DATA</v>
      </c>
      <c r="K1340" s="7" t="s">
        <v>261</v>
      </c>
      <c r="L1340" s="7"/>
      <c r="M1340" s="7" t="s">
        <v>263</v>
      </c>
      <c r="N1340" s="7" t="s">
        <v>260</v>
      </c>
      <c r="O1340" s="7"/>
      <c r="P1340" s="37"/>
      <c r="Q1340" s="7"/>
    </row>
    <row r="1341">
      <c r="A1341" s="7">
        <v>1336.0</v>
      </c>
      <c r="B1341" s="7" t="s">
        <v>332</v>
      </c>
      <c r="C1341" s="7" t="str">
        <f>IFERROR(__xludf.DUMMYFUNCTION("GOOGLETRANSLATE($B1341, $A$2, $B$2)"),"4 days ago")</f>
        <v>4 days ago</v>
      </c>
      <c r="D1341" s="7" t="s">
        <v>2363</v>
      </c>
      <c r="E1341" s="7" t="s">
        <v>683</v>
      </c>
      <c r="F1341" s="7" t="s">
        <v>260</v>
      </c>
      <c r="G1341" s="7" t="s">
        <v>260</v>
      </c>
      <c r="H1341" s="7" t="s">
        <v>261</v>
      </c>
      <c r="I1341" s="7" t="s">
        <v>261</v>
      </c>
      <c r="J1341" s="7" t="str">
        <f>IFERROR(__xludf.DUMMYFUNCTION("GOOGLETRANSLATE($I1341, ""de"", ""en"")"),"NO SALARY DATA")</f>
        <v>NO SALARY DATA</v>
      </c>
      <c r="K1341" s="7" t="s">
        <v>261</v>
      </c>
      <c r="L1341" s="7" t="s">
        <v>1774</v>
      </c>
      <c r="M1341" s="7" t="s">
        <v>673</v>
      </c>
      <c r="N1341" s="7" t="s">
        <v>260</v>
      </c>
      <c r="O1341" s="7"/>
      <c r="P1341" s="37"/>
      <c r="Q1341" s="7"/>
    </row>
    <row r="1342">
      <c r="A1342" s="7">
        <v>1337.0</v>
      </c>
      <c r="B1342" s="7" t="s">
        <v>892</v>
      </c>
      <c r="C1342" s="7" t="str">
        <f>IFERROR(__xludf.DUMMYFUNCTION("GOOGLETRANSLATE($B1342, $A$2, $B$2)"),"25 days ago")</f>
        <v>25 days ago</v>
      </c>
      <c r="D1342" s="7" t="s">
        <v>2250</v>
      </c>
      <c r="E1342" s="7" t="s">
        <v>348</v>
      </c>
      <c r="F1342" s="7" t="s">
        <v>260</v>
      </c>
      <c r="G1342" s="7" t="s">
        <v>260</v>
      </c>
      <c r="H1342" s="7" t="s">
        <v>261</v>
      </c>
      <c r="I1342" s="7" t="s">
        <v>261</v>
      </c>
      <c r="J1342" s="7" t="str">
        <f>IFERROR(__xludf.DUMMYFUNCTION("GOOGLETRANSLATE($I1342, ""de"", ""en"")"),"NO SALARY DATA")</f>
        <v>NO SALARY DATA</v>
      </c>
      <c r="K1342" s="7" t="s">
        <v>261</v>
      </c>
      <c r="L1342" s="7" t="s">
        <v>423</v>
      </c>
      <c r="M1342" s="7" t="s">
        <v>263</v>
      </c>
      <c r="N1342" s="7" t="s">
        <v>260</v>
      </c>
      <c r="O1342" s="7"/>
      <c r="P1342" s="37"/>
      <c r="Q1342" s="7"/>
    </row>
    <row r="1343">
      <c r="A1343" s="7">
        <v>1338.0</v>
      </c>
      <c r="B1343" s="7" t="s">
        <v>637</v>
      </c>
      <c r="C1343" s="7" t="str">
        <f>IFERROR(__xludf.DUMMYFUNCTION("GOOGLETRANSLATE($B1343, $A$2, $B$2)"),"17 days ago")</f>
        <v>17 days ago</v>
      </c>
      <c r="D1343" s="7" t="s">
        <v>2364</v>
      </c>
      <c r="E1343" s="7" t="s">
        <v>258</v>
      </c>
      <c r="F1343" s="7" t="s">
        <v>260</v>
      </c>
      <c r="G1343" s="7" t="s">
        <v>260</v>
      </c>
      <c r="H1343" s="7" t="s">
        <v>261</v>
      </c>
      <c r="I1343" s="7" t="s">
        <v>261</v>
      </c>
      <c r="J1343" s="7" t="str">
        <f>IFERROR(__xludf.DUMMYFUNCTION("GOOGLETRANSLATE($I1343, ""de"", ""en"")"),"NO SALARY DATA")</f>
        <v>NO SALARY DATA</v>
      </c>
      <c r="K1343" s="7" t="s">
        <v>261</v>
      </c>
      <c r="L1343" s="7"/>
      <c r="M1343" s="7" t="s">
        <v>263</v>
      </c>
      <c r="N1343" s="7" t="s">
        <v>260</v>
      </c>
      <c r="O1343" s="7"/>
      <c r="P1343" s="35"/>
      <c r="Q1343" s="7"/>
    </row>
    <row r="1344">
      <c r="A1344" s="7">
        <v>1339.0</v>
      </c>
      <c r="B1344" s="7" t="s">
        <v>341</v>
      </c>
      <c r="C1344" s="7" t="str">
        <f>IFERROR(__xludf.DUMMYFUNCTION("GOOGLETRANSLATE($B1344, $A$2, $B$2)"),"before 14 days")</f>
        <v>before 14 days</v>
      </c>
      <c r="D1344" s="7" t="s">
        <v>2365</v>
      </c>
      <c r="E1344" s="7" t="s">
        <v>280</v>
      </c>
      <c r="F1344" s="7" t="s">
        <v>2366</v>
      </c>
      <c r="G1344" s="7" t="s">
        <v>260</v>
      </c>
      <c r="H1344" s="7" t="s">
        <v>261</v>
      </c>
      <c r="I1344" s="7" t="s">
        <v>261</v>
      </c>
      <c r="J1344" s="7" t="str">
        <f>IFERROR(__xludf.DUMMYFUNCTION("GOOGLETRANSLATE($I1344, ""de"", ""en"")"),"NO SALARY DATA")</f>
        <v>NO SALARY DATA</v>
      </c>
      <c r="K1344" s="7" t="s">
        <v>261</v>
      </c>
      <c r="L1344" s="7" t="s">
        <v>286</v>
      </c>
      <c r="M1344" s="7" t="s">
        <v>287</v>
      </c>
      <c r="N1344" s="7" t="s">
        <v>1385</v>
      </c>
      <c r="O1344" s="7"/>
      <c r="P1344" s="37"/>
      <c r="Q1344" s="7"/>
    </row>
    <row r="1345">
      <c r="A1345" s="7">
        <v>1340.0</v>
      </c>
      <c r="B1345" s="7" t="s">
        <v>265</v>
      </c>
      <c r="C1345" s="7" t="str">
        <f>IFERROR(__xludf.DUMMYFUNCTION("GOOGLETRANSLATE($B1345, $A$2, $B$2)"),"More than 30 days ago")</f>
        <v>More than 30 days ago</v>
      </c>
      <c r="D1345" s="7" t="s">
        <v>2367</v>
      </c>
      <c r="E1345" s="7" t="s">
        <v>480</v>
      </c>
      <c r="F1345" s="7" t="s">
        <v>260</v>
      </c>
      <c r="G1345" s="7" t="s">
        <v>260</v>
      </c>
      <c r="H1345" s="7" t="s">
        <v>261</v>
      </c>
      <c r="I1345" s="7" t="s">
        <v>261</v>
      </c>
      <c r="J1345" s="7" t="str">
        <f>IFERROR(__xludf.DUMMYFUNCTION("GOOGLETRANSLATE($I1345, ""de"", ""en"")"),"NO SALARY DATA")</f>
        <v>NO SALARY DATA</v>
      </c>
      <c r="K1345" s="7" t="s">
        <v>261</v>
      </c>
      <c r="L1345" s="7" t="s">
        <v>1373</v>
      </c>
      <c r="M1345" s="7" t="s">
        <v>263</v>
      </c>
      <c r="N1345" s="7" t="s">
        <v>260</v>
      </c>
      <c r="O1345" s="7"/>
      <c r="P1345" s="37"/>
      <c r="Q1345" s="7"/>
    </row>
    <row r="1346">
      <c r="A1346" s="7">
        <v>1341.0</v>
      </c>
      <c r="B1346" s="7" t="s">
        <v>621</v>
      </c>
      <c r="C1346" s="7" t="str">
        <f>IFERROR(__xludf.DUMMYFUNCTION("GOOGLETRANSLATE($B1346, $A$2, $B$2)"),"20 days ago")</f>
        <v>20 days ago</v>
      </c>
      <c r="D1346" s="7" t="s">
        <v>2221</v>
      </c>
      <c r="E1346" s="7" t="s">
        <v>258</v>
      </c>
      <c r="F1346" s="7" t="s">
        <v>260</v>
      </c>
      <c r="G1346" s="7" t="s">
        <v>2222</v>
      </c>
      <c r="H1346" s="7">
        <v>550.0</v>
      </c>
      <c r="I1346" s="7" t="s">
        <v>811</v>
      </c>
      <c r="J1346" s="7" t="str">
        <f>IFERROR(__xludf.DUMMYFUNCTION("GOOGLETRANSLATE($I1346, ""de"", ""en"")"),"month")</f>
        <v>month</v>
      </c>
      <c r="K1346" s="7">
        <v>6600.0</v>
      </c>
      <c r="L1346" s="7" t="s">
        <v>1037</v>
      </c>
      <c r="M1346" s="7" t="s">
        <v>263</v>
      </c>
      <c r="N1346" s="7" t="s">
        <v>260</v>
      </c>
      <c r="O1346" s="7"/>
      <c r="P1346" s="37"/>
      <c r="Q1346" s="7"/>
    </row>
    <row r="1347">
      <c r="A1347" s="7">
        <v>1342.0</v>
      </c>
      <c r="B1347" s="7" t="s">
        <v>448</v>
      </c>
      <c r="C1347" s="7" t="str">
        <f>IFERROR(__xludf.DUMMYFUNCTION("GOOGLETRANSLATE($B1347, $A$2, $B$2)"),"23 days ago")</f>
        <v>23 days ago</v>
      </c>
      <c r="D1347" s="7" t="s">
        <v>2368</v>
      </c>
      <c r="E1347" s="7" t="s">
        <v>343</v>
      </c>
      <c r="F1347" s="7" t="s">
        <v>2186</v>
      </c>
      <c r="G1347" s="7" t="s">
        <v>260</v>
      </c>
      <c r="H1347" s="7" t="s">
        <v>261</v>
      </c>
      <c r="I1347" s="7" t="s">
        <v>261</v>
      </c>
      <c r="J1347" s="7" t="str">
        <f>IFERROR(__xludf.DUMMYFUNCTION("GOOGLETRANSLATE($I1347, ""de"", ""en"")"),"NO SALARY DATA")</f>
        <v>NO SALARY DATA</v>
      </c>
      <c r="K1347" s="7" t="s">
        <v>261</v>
      </c>
      <c r="L1347" s="7" t="s">
        <v>1653</v>
      </c>
      <c r="M1347" s="7" t="s">
        <v>263</v>
      </c>
      <c r="N1347" s="7" t="s">
        <v>260</v>
      </c>
      <c r="O1347" s="7"/>
      <c r="P1347" s="37"/>
      <c r="Q1347" s="7"/>
    </row>
    <row r="1348">
      <c r="A1348" s="7">
        <v>1343.0</v>
      </c>
      <c r="B1348" s="7" t="s">
        <v>269</v>
      </c>
      <c r="C1348" s="7" t="str">
        <f>IFERROR(__xludf.DUMMYFUNCTION("GOOGLETRANSLATE($B1348, $A$2, $B$2)"),"5 days ago")</f>
        <v>5 days ago</v>
      </c>
      <c r="D1348" s="7" t="s">
        <v>2369</v>
      </c>
      <c r="E1348" s="7" t="s">
        <v>368</v>
      </c>
      <c r="F1348" s="7" t="s">
        <v>260</v>
      </c>
      <c r="G1348" s="7" t="s">
        <v>260</v>
      </c>
      <c r="H1348" s="7" t="s">
        <v>261</v>
      </c>
      <c r="I1348" s="7" t="s">
        <v>261</v>
      </c>
      <c r="J1348" s="7" t="str">
        <f>IFERROR(__xludf.DUMMYFUNCTION("GOOGLETRANSLATE($I1348, ""de"", ""en"")"),"NO SALARY DATA")</f>
        <v>NO SALARY DATA</v>
      </c>
      <c r="K1348" s="7" t="s">
        <v>261</v>
      </c>
      <c r="L1348" s="7"/>
      <c r="M1348" s="7" t="s">
        <v>263</v>
      </c>
      <c r="N1348" s="7" t="s">
        <v>260</v>
      </c>
      <c r="O1348" s="7"/>
      <c r="P1348" s="35"/>
      <c r="Q1348" s="7"/>
    </row>
    <row r="1349">
      <c r="A1349" s="7">
        <v>1344.0</v>
      </c>
      <c r="B1349" s="7" t="s">
        <v>265</v>
      </c>
      <c r="C1349" s="7" t="str">
        <f>IFERROR(__xludf.DUMMYFUNCTION("GOOGLETRANSLATE($B1349, $A$2, $B$2)"),"More than 30 days ago")</f>
        <v>More than 30 days ago</v>
      </c>
      <c r="D1349" s="7" t="s">
        <v>1427</v>
      </c>
      <c r="E1349" s="7" t="s">
        <v>993</v>
      </c>
      <c r="F1349" s="7" t="s">
        <v>2239</v>
      </c>
      <c r="G1349" s="7" t="s">
        <v>260</v>
      </c>
      <c r="H1349" s="7" t="s">
        <v>261</v>
      </c>
      <c r="I1349" s="7" t="s">
        <v>261</v>
      </c>
      <c r="J1349" s="7" t="str">
        <f>IFERROR(__xludf.DUMMYFUNCTION("GOOGLETRANSLATE($I1349, ""de"", ""en"")"),"NO SALARY DATA")</f>
        <v>NO SALARY DATA</v>
      </c>
      <c r="K1349" s="7" t="s">
        <v>261</v>
      </c>
      <c r="L1349" s="7" t="s">
        <v>908</v>
      </c>
      <c r="M1349" s="7" t="s">
        <v>263</v>
      </c>
      <c r="N1349" s="7" t="s">
        <v>473</v>
      </c>
      <c r="O1349" s="7"/>
      <c r="P1349" s="37"/>
      <c r="Q1349" s="7"/>
    </row>
    <row r="1350">
      <c r="A1350" s="7">
        <v>1345.0</v>
      </c>
      <c r="B1350" s="7" t="s">
        <v>265</v>
      </c>
      <c r="C1350" s="7" t="str">
        <f>IFERROR(__xludf.DUMMYFUNCTION("GOOGLETRANSLATE($B1350, $A$2, $B$2)"),"More than 30 days ago")</f>
        <v>More than 30 days ago</v>
      </c>
      <c r="D1350" s="7" t="s">
        <v>2370</v>
      </c>
      <c r="E1350" s="7" t="s">
        <v>480</v>
      </c>
      <c r="F1350" s="7" t="s">
        <v>2371</v>
      </c>
      <c r="G1350" s="7" t="s">
        <v>260</v>
      </c>
      <c r="H1350" s="7" t="s">
        <v>261</v>
      </c>
      <c r="I1350" s="7" t="s">
        <v>261</v>
      </c>
      <c r="J1350" s="7" t="str">
        <f>IFERROR(__xludf.DUMMYFUNCTION("GOOGLETRANSLATE($I1350, ""de"", ""en"")"),"NO SALARY DATA")</f>
        <v>NO SALARY DATA</v>
      </c>
      <c r="K1350" s="7" t="s">
        <v>261</v>
      </c>
      <c r="L1350" s="7" t="s">
        <v>795</v>
      </c>
      <c r="M1350" s="7" t="s">
        <v>263</v>
      </c>
      <c r="N1350" s="7" t="s">
        <v>260</v>
      </c>
      <c r="O1350" s="7"/>
      <c r="P1350" s="37"/>
      <c r="Q1350" s="7"/>
    </row>
    <row r="1351">
      <c r="A1351" s="7">
        <v>1346.0</v>
      </c>
      <c r="B1351" s="7" t="s">
        <v>346</v>
      </c>
      <c r="C1351" s="7" t="str">
        <f>IFERROR(__xludf.DUMMYFUNCTION("GOOGLETRANSLATE($B1351, $A$2, $B$2)"),"12 days ago")</f>
        <v>12 days ago</v>
      </c>
      <c r="D1351" s="7" t="s">
        <v>2372</v>
      </c>
      <c r="E1351" s="7" t="s">
        <v>280</v>
      </c>
      <c r="F1351" s="7" t="s">
        <v>260</v>
      </c>
      <c r="G1351" s="7" t="s">
        <v>260</v>
      </c>
      <c r="H1351" s="7" t="s">
        <v>261</v>
      </c>
      <c r="I1351" s="7" t="s">
        <v>261</v>
      </c>
      <c r="J1351" s="7" t="str">
        <f>IFERROR(__xludf.DUMMYFUNCTION("GOOGLETRANSLATE($I1351, ""de"", ""en"")"),"NO SALARY DATA")</f>
        <v>NO SALARY DATA</v>
      </c>
      <c r="K1351" s="7" t="s">
        <v>261</v>
      </c>
      <c r="L1351" s="7" t="s">
        <v>2373</v>
      </c>
      <c r="M1351" s="7" t="s">
        <v>263</v>
      </c>
      <c r="N1351" s="7" t="s">
        <v>260</v>
      </c>
      <c r="O1351" s="7"/>
      <c r="P1351" s="37"/>
      <c r="Q1351" s="7"/>
    </row>
    <row r="1352">
      <c r="A1352" s="7">
        <v>1347.0</v>
      </c>
      <c r="B1352" s="7" t="s">
        <v>324</v>
      </c>
      <c r="C1352" s="7" t="str">
        <f>IFERROR(__xludf.DUMMYFUNCTION("GOOGLETRANSLATE($B1352, $A$2, $B$2)"),"3 days ago")</f>
        <v>3 days ago</v>
      </c>
      <c r="D1352" s="7" t="s">
        <v>2374</v>
      </c>
      <c r="E1352" s="7" t="s">
        <v>2375</v>
      </c>
      <c r="F1352" s="7" t="s">
        <v>260</v>
      </c>
      <c r="G1352" s="7" t="s">
        <v>260</v>
      </c>
      <c r="H1352" s="7" t="s">
        <v>261</v>
      </c>
      <c r="I1352" s="7" t="s">
        <v>261</v>
      </c>
      <c r="J1352" s="7" t="str">
        <f>IFERROR(__xludf.DUMMYFUNCTION("GOOGLETRANSLATE($I1352, ""de"", ""en"")"),"NO SALARY DATA")</f>
        <v>NO SALARY DATA</v>
      </c>
      <c r="K1352" s="7" t="s">
        <v>261</v>
      </c>
      <c r="L1352" s="7" t="s">
        <v>1373</v>
      </c>
      <c r="M1352" s="7" t="s">
        <v>263</v>
      </c>
      <c r="N1352" s="7" t="s">
        <v>260</v>
      </c>
      <c r="O1352" s="7"/>
      <c r="P1352" s="37"/>
      <c r="Q1352" s="7"/>
    </row>
    <row r="1353">
      <c r="A1353" s="7">
        <v>1348.0</v>
      </c>
      <c r="B1353" s="7" t="s">
        <v>395</v>
      </c>
      <c r="C1353" s="7" t="str">
        <f>IFERROR(__xludf.DUMMYFUNCTION("GOOGLETRANSLATE($B1353, $A$2, $B$2)"),"21 days ago")</f>
        <v>21 days ago</v>
      </c>
      <c r="D1353" s="7" t="s">
        <v>2376</v>
      </c>
      <c r="E1353" s="7" t="s">
        <v>271</v>
      </c>
      <c r="F1353" s="7" t="s">
        <v>260</v>
      </c>
      <c r="G1353" s="7" t="s">
        <v>260</v>
      </c>
      <c r="H1353" s="7" t="s">
        <v>261</v>
      </c>
      <c r="I1353" s="7" t="s">
        <v>261</v>
      </c>
      <c r="J1353" s="7" t="str">
        <f>IFERROR(__xludf.DUMMYFUNCTION("GOOGLETRANSLATE($I1353, ""de"", ""en"")"),"NO SALARY DATA")</f>
        <v>NO SALARY DATA</v>
      </c>
      <c r="K1353" s="7" t="s">
        <v>261</v>
      </c>
      <c r="L1353" s="7"/>
      <c r="M1353" s="7" t="s">
        <v>263</v>
      </c>
      <c r="N1353" s="7" t="s">
        <v>260</v>
      </c>
      <c r="O1353" s="7"/>
      <c r="P1353" s="37"/>
      <c r="Q1353" s="7"/>
    </row>
    <row r="1354">
      <c r="A1354" s="7">
        <v>1349.0</v>
      </c>
      <c r="B1354" s="7" t="s">
        <v>265</v>
      </c>
      <c r="C1354" s="7" t="str">
        <f>IFERROR(__xludf.DUMMYFUNCTION("GOOGLETRANSLATE($B1354, $A$2, $B$2)"),"More than 30 days ago")</f>
        <v>More than 30 days ago</v>
      </c>
      <c r="D1354" s="7" t="s">
        <v>2377</v>
      </c>
      <c r="E1354" s="7" t="s">
        <v>271</v>
      </c>
      <c r="F1354" s="7" t="s">
        <v>260</v>
      </c>
      <c r="G1354" s="7" t="s">
        <v>260</v>
      </c>
      <c r="H1354" s="7" t="s">
        <v>261</v>
      </c>
      <c r="I1354" s="7" t="s">
        <v>261</v>
      </c>
      <c r="J1354" s="7" t="str">
        <f>IFERROR(__xludf.DUMMYFUNCTION("GOOGLETRANSLATE($I1354, ""de"", ""en"")"),"NO SALARY DATA")</f>
        <v>NO SALARY DATA</v>
      </c>
      <c r="K1354" s="7" t="s">
        <v>261</v>
      </c>
      <c r="L1354" s="7"/>
      <c r="M1354" s="7" t="s">
        <v>263</v>
      </c>
      <c r="N1354" s="7" t="s">
        <v>260</v>
      </c>
      <c r="O1354" s="7"/>
      <c r="P1354" s="37"/>
      <c r="Q1354" s="7"/>
    </row>
    <row r="1355">
      <c r="A1355" s="7">
        <v>1350.0</v>
      </c>
      <c r="B1355" s="7" t="s">
        <v>265</v>
      </c>
      <c r="C1355" s="7" t="str">
        <f>IFERROR(__xludf.DUMMYFUNCTION("GOOGLETRANSLATE($B1355, $A$2, $B$2)"),"More than 30 days ago")</f>
        <v>More than 30 days ago</v>
      </c>
      <c r="D1355" s="7" t="s">
        <v>2378</v>
      </c>
      <c r="E1355" s="7" t="s">
        <v>271</v>
      </c>
      <c r="F1355" s="7" t="s">
        <v>2220</v>
      </c>
      <c r="G1355" s="7" t="s">
        <v>260</v>
      </c>
      <c r="H1355" s="7" t="s">
        <v>261</v>
      </c>
      <c r="I1355" s="7" t="s">
        <v>261</v>
      </c>
      <c r="J1355" s="7" t="str">
        <f>IFERROR(__xludf.DUMMYFUNCTION("GOOGLETRANSLATE($I1355, ""de"", ""en"")"),"NO SALARY DATA")</f>
        <v>NO SALARY DATA</v>
      </c>
      <c r="K1355" s="7" t="s">
        <v>261</v>
      </c>
      <c r="L1355" s="7" t="s">
        <v>2379</v>
      </c>
      <c r="M1355" s="7" t="s">
        <v>263</v>
      </c>
      <c r="N1355" s="7" t="s">
        <v>260</v>
      </c>
      <c r="O1355" s="7"/>
      <c r="P1355" s="37"/>
      <c r="Q1355" s="7"/>
    </row>
    <row r="1356">
      <c r="A1356" s="7">
        <v>1351.0</v>
      </c>
      <c r="B1356" s="7" t="s">
        <v>269</v>
      </c>
      <c r="C1356" s="7" t="str">
        <f>IFERROR(__xludf.DUMMYFUNCTION("GOOGLETRANSLATE($B1356, $A$2, $B$2)"),"5 days ago")</f>
        <v>5 days ago</v>
      </c>
      <c r="D1356" s="7" t="s">
        <v>2380</v>
      </c>
      <c r="E1356" s="7" t="s">
        <v>480</v>
      </c>
      <c r="F1356" s="7" t="s">
        <v>260</v>
      </c>
      <c r="G1356" s="7" t="s">
        <v>260</v>
      </c>
      <c r="H1356" s="7" t="s">
        <v>261</v>
      </c>
      <c r="I1356" s="7" t="s">
        <v>261</v>
      </c>
      <c r="J1356" s="7" t="str">
        <f>IFERROR(__xludf.DUMMYFUNCTION("GOOGLETRANSLATE($I1356, ""de"", ""en"")"),"NO SALARY DATA")</f>
        <v>NO SALARY DATA</v>
      </c>
      <c r="K1356" s="7" t="s">
        <v>261</v>
      </c>
      <c r="L1356" s="7"/>
      <c r="M1356" s="7" t="s">
        <v>263</v>
      </c>
      <c r="N1356" s="7" t="s">
        <v>260</v>
      </c>
      <c r="O1356" s="7"/>
      <c r="P1356" s="37"/>
      <c r="Q1356" s="7"/>
    </row>
    <row r="1357">
      <c r="A1357" s="7">
        <v>1352.0</v>
      </c>
      <c r="B1357" s="7" t="s">
        <v>265</v>
      </c>
      <c r="C1357" s="7" t="str">
        <f>IFERROR(__xludf.DUMMYFUNCTION("GOOGLETRANSLATE($B1357, $A$2, $B$2)"),"More than 30 days ago")</f>
        <v>More than 30 days ago</v>
      </c>
      <c r="D1357" s="7" t="s">
        <v>2381</v>
      </c>
      <c r="E1357" s="7" t="s">
        <v>405</v>
      </c>
      <c r="F1357" s="7" t="s">
        <v>260</v>
      </c>
      <c r="G1357" s="7" t="s">
        <v>260</v>
      </c>
      <c r="H1357" s="7" t="s">
        <v>261</v>
      </c>
      <c r="I1357" s="7" t="s">
        <v>261</v>
      </c>
      <c r="J1357" s="7" t="str">
        <f>IFERROR(__xludf.DUMMYFUNCTION("GOOGLETRANSLATE($I1357, ""de"", ""en"")"),"NO SALARY DATA")</f>
        <v>NO SALARY DATA</v>
      </c>
      <c r="K1357" s="7" t="s">
        <v>261</v>
      </c>
      <c r="L1357" s="7"/>
      <c r="M1357" s="7" t="s">
        <v>263</v>
      </c>
      <c r="N1357" s="7" t="s">
        <v>260</v>
      </c>
      <c r="O1357" s="7"/>
      <c r="P1357" s="37"/>
      <c r="Q1357" s="7"/>
    </row>
    <row r="1358">
      <c r="A1358" s="7">
        <v>1353.0</v>
      </c>
      <c r="B1358" s="7" t="s">
        <v>265</v>
      </c>
      <c r="C1358" s="7" t="str">
        <f>IFERROR(__xludf.DUMMYFUNCTION("GOOGLETRANSLATE($B1358, $A$2, $B$2)"),"More than 30 days ago")</f>
        <v>More than 30 days ago</v>
      </c>
      <c r="D1358" s="7" t="s">
        <v>2382</v>
      </c>
      <c r="E1358" s="7" t="s">
        <v>985</v>
      </c>
      <c r="F1358" s="7" t="s">
        <v>2231</v>
      </c>
      <c r="G1358" s="7" t="s">
        <v>260</v>
      </c>
      <c r="H1358" s="7" t="s">
        <v>261</v>
      </c>
      <c r="I1358" s="7" t="s">
        <v>261</v>
      </c>
      <c r="J1358" s="7" t="str">
        <f>IFERROR(__xludf.DUMMYFUNCTION("GOOGLETRANSLATE($I1358, ""de"", ""en"")"),"NO SALARY DATA")</f>
        <v>NO SALARY DATA</v>
      </c>
      <c r="K1358" s="7" t="s">
        <v>261</v>
      </c>
      <c r="L1358" s="7" t="s">
        <v>562</v>
      </c>
      <c r="M1358" s="7" t="s">
        <v>263</v>
      </c>
      <c r="N1358" s="7" t="s">
        <v>260</v>
      </c>
      <c r="O1358" s="7"/>
      <c r="P1358" s="35"/>
      <c r="Q1358" s="7"/>
    </row>
    <row r="1359">
      <c r="A1359" s="7">
        <v>1354.0</v>
      </c>
      <c r="B1359" s="7" t="s">
        <v>265</v>
      </c>
      <c r="C1359" s="7" t="str">
        <f>IFERROR(__xludf.DUMMYFUNCTION("GOOGLETRANSLATE($B1359, $A$2, $B$2)"),"More than 30 days ago")</f>
        <v>More than 30 days ago</v>
      </c>
      <c r="D1359" s="7" t="s">
        <v>2237</v>
      </c>
      <c r="E1359" s="7" t="s">
        <v>401</v>
      </c>
      <c r="F1359" s="7" t="s">
        <v>2239</v>
      </c>
      <c r="G1359" s="7" t="s">
        <v>260</v>
      </c>
      <c r="H1359" s="7" t="s">
        <v>261</v>
      </c>
      <c r="I1359" s="7" t="s">
        <v>261</v>
      </c>
      <c r="J1359" s="7" t="str">
        <f>IFERROR(__xludf.DUMMYFUNCTION("GOOGLETRANSLATE($I1359, ""de"", ""en"")"),"NO SALARY DATA")</f>
        <v>NO SALARY DATA</v>
      </c>
      <c r="K1359" s="7" t="s">
        <v>261</v>
      </c>
      <c r="L1359" s="7" t="s">
        <v>562</v>
      </c>
      <c r="M1359" s="7" t="s">
        <v>263</v>
      </c>
      <c r="N1359" s="7" t="s">
        <v>473</v>
      </c>
      <c r="O1359" s="7"/>
      <c r="P1359" s="37"/>
      <c r="Q1359" s="7"/>
    </row>
    <row r="1360">
      <c r="A1360" s="7">
        <v>1355.0</v>
      </c>
      <c r="B1360" s="7" t="s">
        <v>265</v>
      </c>
      <c r="C1360" s="7" t="str">
        <f>IFERROR(__xludf.DUMMYFUNCTION("GOOGLETRANSLATE($B1360, $A$2, $B$2)"),"More than 30 days ago")</f>
        <v>More than 30 days ago</v>
      </c>
      <c r="D1360" s="7" t="s">
        <v>2383</v>
      </c>
      <c r="E1360" s="7" t="s">
        <v>352</v>
      </c>
      <c r="F1360" s="7" t="s">
        <v>260</v>
      </c>
      <c r="G1360" s="7" t="s">
        <v>260</v>
      </c>
      <c r="H1360" s="7" t="s">
        <v>261</v>
      </c>
      <c r="I1360" s="7" t="s">
        <v>261</v>
      </c>
      <c r="J1360" s="7" t="str">
        <f>IFERROR(__xludf.DUMMYFUNCTION("GOOGLETRANSLATE($I1360, ""de"", ""en"")"),"NO SALARY DATA")</f>
        <v>NO SALARY DATA</v>
      </c>
      <c r="K1360" s="7" t="s">
        <v>261</v>
      </c>
      <c r="L1360" s="7"/>
      <c r="M1360" s="7" t="s">
        <v>263</v>
      </c>
      <c r="N1360" s="7" t="s">
        <v>260</v>
      </c>
      <c r="O1360" s="7"/>
      <c r="P1360" s="37"/>
      <c r="Q1360" s="7"/>
    </row>
    <row r="1361">
      <c r="A1361" s="7">
        <v>1356.0</v>
      </c>
      <c r="B1361" s="7" t="s">
        <v>302</v>
      </c>
      <c r="C1361" s="7" t="str">
        <f>IFERROR(__xludf.DUMMYFUNCTION("GOOGLETRANSLATE($B1361, $A$2, $B$2)"),"today")</f>
        <v>today</v>
      </c>
      <c r="D1361" s="7" t="s">
        <v>2317</v>
      </c>
      <c r="E1361" s="7" t="s">
        <v>401</v>
      </c>
      <c r="F1361" s="7" t="s">
        <v>260</v>
      </c>
      <c r="G1361" s="7" t="s">
        <v>260</v>
      </c>
      <c r="H1361" s="7" t="s">
        <v>261</v>
      </c>
      <c r="I1361" s="7" t="s">
        <v>261</v>
      </c>
      <c r="J1361" s="7" t="str">
        <f>IFERROR(__xludf.DUMMYFUNCTION("GOOGLETRANSLATE($I1361, ""de"", ""en"")"),"NO SALARY DATA")</f>
        <v>NO SALARY DATA</v>
      </c>
      <c r="K1361" s="7" t="s">
        <v>261</v>
      </c>
      <c r="L1361" s="7" t="s">
        <v>423</v>
      </c>
      <c r="M1361" s="7" t="s">
        <v>263</v>
      </c>
      <c r="N1361" s="7" t="s">
        <v>260</v>
      </c>
      <c r="O1361" s="7"/>
      <c r="P1361" s="37"/>
      <c r="Q1361" s="7"/>
    </row>
    <row r="1362">
      <c r="A1362" s="7">
        <v>1357.0</v>
      </c>
      <c r="B1362" s="7" t="s">
        <v>265</v>
      </c>
      <c r="C1362" s="7" t="str">
        <f>IFERROR(__xludf.DUMMYFUNCTION("GOOGLETRANSLATE($B1362, $A$2, $B$2)"),"More than 30 days ago")</f>
        <v>More than 30 days ago</v>
      </c>
      <c r="D1362" s="7" t="s">
        <v>2189</v>
      </c>
      <c r="E1362" s="7" t="s">
        <v>480</v>
      </c>
      <c r="F1362" s="7" t="s">
        <v>260</v>
      </c>
      <c r="G1362" s="7" t="s">
        <v>260</v>
      </c>
      <c r="H1362" s="7" t="s">
        <v>261</v>
      </c>
      <c r="I1362" s="7" t="s">
        <v>261</v>
      </c>
      <c r="J1362" s="7" t="str">
        <f>IFERROR(__xludf.DUMMYFUNCTION("GOOGLETRANSLATE($I1362, ""de"", ""en"")"),"NO SALARY DATA")</f>
        <v>NO SALARY DATA</v>
      </c>
      <c r="K1362" s="7" t="s">
        <v>261</v>
      </c>
      <c r="L1362" s="7"/>
      <c r="M1362" s="7" t="s">
        <v>263</v>
      </c>
      <c r="N1362" s="7" t="s">
        <v>260</v>
      </c>
      <c r="O1362" s="7"/>
      <c r="P1362" s="37"/>
      <c r="Q1362" s="7"/>
    </row>
    <row r="1363">
      <c r="A1363" s="7">
        <v>1358.0</v>
      </c>
      <c r="B1363" s="7" t="s">
        <v>346</v>
      </c>
      <c r="C1363" s="7" t="str">
        <f>IFERROR(__xludf.DUMMYFUNCTION("GOOGLETRANSLATE($B1363, $A$2, $B$2)"),"12 days ago")</f>
        <v>12 days ago</v>
      </c>
      <c r="D1363" s="7" t="s">
        <v>2372</v>
      </c>
      <c r="E1363" s="7" t="s">
        <v>280</v>
      </c>
      <c r="F1363" s="7" t="s">
        <v>260</v>
      </c>
      <c r="G1363" s="7" t="s">
        <v>260</v>
      </c>
      <c r="H1363" s="7" t="s">
        <v>261</v>
      </c>
      <c r="I1363" s="7" t="s">
        <v>261</v>
      </c>
      <c r="J1363" s="7" t="str">
        <f>IFERROR(__xludf.DUMMYFUNCTION("GOOGLETRANSLATE($I1363, ""de"", ""en"")"),"NO SALARY DATA")</f>
        <v>NO SALARY DATA</v>
      </c>
      <c r="K1363" s="7" t="s">
        <v>261</v>
      </c>
      <c r="L1363" s="7" t="s">
        <v>2373</v>
      </c>
      <c r="M1363" s="7" t="s">
        <v>263</v>
      </c>
      <c r="N1363" s="7" t="s">
        <v>260</v>
      </c>
      <c r="O1363" s="7"/>
      <c r="P1363" s="37"/>
      <c r="Q1363" s="7"/>
    </row>
    <row r="1364">
      <c r="A1364" s="7">
        <v>1359.0</v>
      </c>
      <c r="B1364" s="7" t="s">
        <v>346</v>
      </c>
      <c r="C1364" s="7" t="str">
        <f>IFERROR(__xludf.DUMMYFUNCTION("GOOGLETRANSLATE($B1364, $A$2, $B$2)"),"12 days ago")</f>
        <v>12 days ago</v>
      </c>
      <c r="D1364" s="7" t="s">
        <v>2328</v>
      </c>
      <c r="E1364" s="7" t="s">
        <v>683</v>
      </c>
      <c r="F1364" s="7" t="s">
        <v>260</v>
      </c>
      <c r="G1364" s="7" t="s">
        <v>260</v>
      </c>
      <c r="H1364" s="7" t="s">
        <v>261</v>
      </c>
      <c r="I1364" s="7" t="s">
        <v>261</v>
      </c>
      <c r="J1364" s="7" t="str">
        <f>IFERROR(__xludf.DUMMYFUNCTION("GOOGLETRANSLATE($I1364, ""de"", ""en"")"),"NO SALARY DATA")</f>
        <v>NO SALARY DATA</v>
      </c>
      <c r="K1364" s="7" t="s">
        <v>261</v>
      </c>
      <c r="L1364" s="7"/>
      <c r="M1364" s="7" t="s">
        <v>263</v>
      </c>
      <c r="N1364" s="7" t="s">
        <v>260</v>
      </c>
      <c r="O1364" s="7"/>
      <c r="P1364" s="37"/>
      <c r="Q1364" s="7"/>
    </row>
    <row r="1365">
      <c r="A1365" s="7">
        <v>1360.0</v>
      </c>
      <c r="B1365" s="7" t="s">
        <v>265</v>
      </c>
      <c r="C1365" s="7" t="str">
        <f>IFERROR(__xludf.DUMMYFUNCTION("GOOGLETRANSLATE($B1365, $A$2, $B$2)"),"More than 30 days ago")</f>
        <v>More than 30 days ago</v>
      </c>
      <c r="D1365" s="7" t="s">
        <v>2242</v>
      </c>
      <c r="E1365" s="7" t="s">
        <v>480</v>
      </c>
      <c r="F1365" s="7" t="s">
        <v>260</v>
      </c>
      <c r="G1365" s="7" t="s">
        <v>260</v>
      </c>
      <c r="H1365" s="7" t="s">
        <v>261</v>
      </c>
      <c r="I1365" s="7" t="s">
        <v>261</v>
      </c>
      <c r="J1365" s="7" t="str">
        <f>IFERROR(__xludf.DUMMYFUNCTION("GOOGLETRANSLATE($I1365, ""de"", ""en"")"),"NO SALARY DATA")</f>
        <v>NO SALARY DATA</v>
      </c>
      <c r="K1365" s="7" t="s">
        <v>261</v>
      </c>
      <c r="L1365" s="7"/>
      <c r="M1365" s="7" t="s">
        <v>263</v>
      </c>
      <c r="N1365" s="7" t="s">
        <v>260</v>
      </c>
      <c r="O1365" s="7"/>
      <c r="P1365" s="37"/>
      <c r="Q1365" s="7"/>
    </row>
    <row r="1366">
      <c r="A1366" s="7">
        <v>1361.0</v>
      </c>
      <c r="B1366" s="7" t="s">
        <v>346</v>
      </c>
      <c r="C1366" s="7" t="str">
        <f>IFERROR(__xludf.DUMMYFUNCTION("GOOGLETRANSLATE($B1366, $A$2, $B$2)"),"12 days ago")</f>
        <v>12 days ago</v>
      </c>
      <c r="D1366" s="7" t="s">
        <v>2384</v>
      </c>
      <c r="E1366" s="7" t="s">
        <v>280</v>
      </c>
      <c r="F1366" s="7" t="s">
        <v>260</v>
      </c>
      <c r="G1366" s="7" t="s">
        <v>260</v>
      </c>
      <c r="H1366" s="7" t="s">
        <v>261</v>
      </c>
      <c r="I1366" s="7" t="s">
        <v>261</v>
      </c>
      <c r="J1366" s="7" t="str">
        <f>IFERROR(__xludf.DUMMYFUNCTION("GOOGLETRANSLATE($I1366, ""de"", ""en"")"),"NO SALARY DATA")</f>
        <v>NO SALARY DATA</v>
      </c>
      <c r="K1366" s="7" t="s">
        <v>261</v>
      </c>
      <c r="L1366" s="7" t="s">
        <v>423</v>
      </c>
      <c r="M1366" s="7" t="s">
        <v>263</v>
      </c>
      <c r="N1366" s="7" t="s">
        <v>260</v>
      </c>
      <c r="O1366" s="7"/>
      <c r="P1366" s="37"/>
      <c r="Q1366" s="7"/>
    </row>
    <row r="1367">
      <c r="A1367" s="7">
        <v>1362.0</v>
      </c>
      <c r="B1367" s="7" t="s">
        <v>637</v>
      </c>
      <c r="C1367" s="7" t="str">
        <f>IFERROR(__xludf.DUMMYFUNCTION("GOOGLETRANSLATE($B1367, $A$2, $B$2)"),"17 days ago")</f>
        <v>17 days ago</v>
      </c>
      <c r="D1367" s="7" t="s">
        <v>2252</v>
      </c>
      <c r="E1367" s="7" t="s">
        <v>401</v>
      </c>
      <c r="F1367" s="7" t="s">
        <v>260</v>
      </c>
      <c r="G1367" s="7" t="s">
        <v>260</v>
      </c>
      <c r="H1367" s="7" t="s">
        <v>261</v>
      </c>
      <c r="I1367" s="7" t="s">
        <v>261</v>
      </c>
      <c r="J1367" s="7" t="str">
        <f>IFERROR(__xludf.DUMMYFUNCTION("GOOGLETRANSLATE($I1367, ""de"", ""en"")"),"NO SALARY DATA")</f>
        <v>NO SALARY DATA</v>
      </c>
      <c r="K1367" s="7" t="s">
        <v>261</v>
      </c>
      <c r="L1367" s="7"/>
      <c r="M1367" s="7" t="s">
        <v>263</v>
      </c>
      <c r="N1367" s="7" t="s">
        <v>260</v>
      </c>
      <c r="O1367" s="7"/>
      <c r="P1367" s="37"/>
      <c r="Q1367" s="7"/>
    </row>
    <row r="1368">
      <c r="A1368" s="7">
        <v>1363.0</v>
      </c>
      <c r="B1368" s="7" t="s">
        <v>302</v>
      </c>
      <c r="C1368" s="7" t="str">
        <f>IFERROR(__xludf.DUMMYFUNCTION("GOOGLETRANSLATE($B1368, $A$2, $B$2)"),"today")</f>
        <v>today</v>
      </c>
      <c r="D1368" s="7" t="s">
        <v>2385</v>
      </c>
      <c r="E1368" s="7" t="s">
        <v>368</v>
      </c>
      <c r="F1368" s="7" t="s">
        <v>260</v>
      </c>
      <c r="G1368" s="7" t="s">
        <v>260</v>
      </c>
      <c r="H1368" s="7" t="s">
        <v>261</v>
      </c>
      <c r="I1368" s="7" t="s">
        <v>261</v>
      </c>
      <c r="J1368" s="7" t="str">
        <f>IFERROR(__xludf.DUMMYFUNCTION("GOOGLETRANSLATE($I1368, ""de"", ""en"")"),"NO SALARY DATA")</f>
        <v>NO SALARY DATA</v>
      </c>
      <c r="K1368" s="7" t="s">
        <v>261</v>
      </c>
      <c r="L1368" s="7" t="s">
        <v>1487</v>
      </c>
      <c r="M1368" s="7" t="s">
        <v>263</v>
      </c>
      <c r="N1368" s="7" t="s">
        <v>260</v>
      </c>
      <c r="O1368" s="7"/>
      <c r="P1368" s="37"/>
      <c r="Q1368" s="7"/>
    </row>
    <row r="1369">
      <c r="A1369" s="7">
        <v>1364.0</v>
      </c>
      <c r="B1369" s="7" t="s">
        <v>1271</v>
      </c>
      <c r="C1369" s="7" t="str">
        <f>IFERROR(__xludf.DUMMYFUNCTION("GOOGLETRANSLATE($B1369, $A$2, $B$2)"),"27 days ago")</f>
        <v>27 days ago</v>
      </c>
      <c r="D1369" s="7" t="s">
        <v>2386</v>
      </c>
      <c r="E1369" s="7" t="s">
        <v>258</v>
      </c>
      <c r="F1369" s="7" t="s">
        <v>260</v>
      </c>
      <c r="G1369" s="7" t="s">
        <v>260</v>
      </c>
      <c r="H1369" s="7" t="s">
        <v>261</v>
      </c>
      <c r="I1369" s="7" t="s">
        <v>261</v>
      </c>
      <c r="J1369" s="7" t="str">
        <f>IFERROR(__xludf.DUMMYFUNCTION("GOOGLETRANSLATE($I1369, ""de"", ""en"")"),"NO SALARY DATA")</f>
        <v>NO SALARY DATA</v>
      </c>
      <c r="K1369" s="7" t="s">
        <v>261</v>
      </c>
      <c r="L1369" s="7" t="s">
        <v>1373</v>
      </c>
      <c r="M1369" s="7" t="s">
        <v>263</v>
      </c>
      <c r="N1369" s="7" t="s">
        <v>260</v>
      </c>
      <c r="O1369" s="7"/>
      <c r="P1369" s="37"/>
      <c r="Q1369" s="7"/>
    </row>
    <row r="1370">
      <c r="A1370" s="7">
        <v>1365.0</v>
      </c>
      <c r="B1370" s="7" t="s">
        <v>705</v>
      </c>
      <c r="C1370" s="7" t="str">
        <f>IFERROR(__xludf.DUMMYFUNCTION("GOOGLETRANSLATE($B1370, $A$2, $B$2)"),"9 days ago")</f>
        <v>9 days ago</v>
      </c>
      <c r="D1370" s="7" t="s">
        <v>2387</v>
      </c>
      <c r="E1370" s="7" t="s">
        <v>348</v>
      </c>
      <c r="F1370" s="7" t="s">
        <v>260</v>
      </c>
      <c r="G1370" s="7" t="s">
        <v>260</v>
      </c>
      <c r="H1370" s="7" t="s">
        <v>261</v>
      </c>
      <c r="I1370" s="7" t="s">
        <v>261</v>
      </c>
      <c r="J1370" s="7" t="str">
        <f>IFERROR(__xludf.DUMMYFUNCTION("GOOGLETRANSLATE($I1370, ""de"", ""en"")"),"NO SALARY DATA")</f>
        <v>NO SALARY DATA</v>
      </c>
      <c r="K1370" s="7" t="s">
        <v>261</v>
      </c>
      <c r="L1370" s="7" t="s">
        <v>2388</v>
      </c>
      <c r="M1370" s="7" t="s">
        <v>263</v>
      </c>
      <c r="N1370" s="7" t="s">
        <v>260</v>
      </c>
      <c r="O1370" s="7"/>
      <c r="P1370" s="37"/>
      <c r="Q1370" s="7"/>
    </row>
    <row r="1371">
      <c r="A1371" s="7">
        <v>1366.0</v>
      </c>
      <c r="B1371" s="7" t="s">
        <v>375</v>
      </c>
      <c r="C1371" s="7" t="str">
        <f>IFERROR(__xludf.DUMMYFUNCTION("GOOGLETRANSLATE($B1371, $A$2, $B$2)"),"6 days ago")</f>
        <v>6 days ago</v>
      </c>
      <c r="D1371" s="7" t="s">
        <v>2389</v>
      </c>
      <c r="E1371" s="7" t="s">
        <v>401</v>
      </c>
      <c r="F1371" s="7" t="s">
        <v>260</v>
      </c>
      <c r="G1371" s="7" t="s">
        <v>260</v>
      </c>
      <c r="H1371" s="7" t="s">
        <v>261</v>
      </c>
      <c r="I1371" s="7" t="s">
        <v>261</v>
      </c>
      <c r="J1371" s="7" t="str">
        <f>IFERROR(__xludf.DUMMYFUNCTION("GOOGLETRANSLATE($I1371, ""de"", ""en"")"),"NO SALARY DATA")</f>
        <v>NO SALARY DATA</v>
      </c>
      <c r="K1371" s="7" t="s">
        <v>261</v>
      </c>
      <c r="L1371" s="7"/>
      <c r="M1371" s="7" t="s">
        <v>263</v>
      </c>
      <c r="N1371" s="7" t="s">
        <v>260</v>
      </c>
      <c r="O1371" s="7"/>
      <c r="P1371" s="37"/>
      <c r="Q1371" s="7"/>
    </row>
    <row r="1372">
      <c r="A1372" s="7">
        <v>1367.0</v>
      </c>
      <c r="B1372" s="7" t="s">
        <v>265</v>
      </c>
      <c r="C1372" s="7" t="str">
        <f>IFERROR(__xludf.DUMMYFUNCTION("GOOGLETRANSLATE($B1372, $A$2, $B$2)"),"More than 30 days ago")</f>
        <v>More than 30 days ago</v>
      </c>
      <c r="D1372" s="7" t="s">
        <v>2390</v>
      </c>
      <c r="E1372" s="7" t="s">
        <v>539</v>
      </c>
      <c r="F1372" s="7" t="s">
        <v>260</v>
      </c>
      <c r="G1372" s="7" t="s">
        <v>260</v>
      </c>
      <c r="H1372" s="7" t="s">
        <v>261</v>
      </c>
      <c r="I1372" s="7" t="s">
        <v>261</v>
      </c>
      <c r="J1372" s="7" t="str">
        <f>IFERROR(__xludf.DUMMYFUNCTION("GOOGLETRANSLATE($I1372, ""de"", ""en"")"),"NO SALARY DATA")</f>
        <v>NO SALARY DATA</v>
      </c>
      <c r="K1372" s="7" t="s">
        <v>261</v>
      </c>
      <c r="L1372" s="7" t="s">
        <v>2391</v>
      </c>
      <c r="M1372" s="7" t="s">
        <v>263</v>
      </c>
      <c r="N1372" s="7" t="s">
        <v>260</v>
      </c>
      <c r="O1372" s="7"/>
      <c r="P1372" s="37"/>
      <c r="Q1372" s="7"/>
    </row>
    <row r="1373">
      <c r="A1373" s="7">
        <v>1368.0</v>
      </c>
      <c r="B1373" s="7" t="s">
        <v>265</v>
      </c>
      <c r="C1373" s="7" t="str">
        <f>IFERROR(__xludf.DUMMYFUNCTION("GOOGLETRANSLATE($B1373, $A$2, $B$2)"),"More than 30 days ago")</f>
        <v>More than 30 days ago</v>
      </c>
      <c r="D1373" s="7" t="s">
        <v>2392</v>
      </c>
      <c r="E1373" s="7" t="s">
        <v>348</v>
      </c>
      <c r="F1373" s="7" t="s">
        <v>260</v>
      </c>
      <c r="G1373" s="7" t="s">
        <v>260</v>
      </c>
      <c r="H1373" s="7" t="s">
        <v>261</v>
      </c>
      <c r="I1373" s="7" t="s">
        <v>261</v>
      </c>
      <c r="J1373" s="7" t="str">
        <f>IFERROR(__xludf.DUMMYFUNCTION("GOOGLETRANSLATE($I1373, ""de"", ""en"")"),"NO SALARY DATA")</f>
        <v>NO SALARY DATA</v>
      </c>
      <c r="K1373" s="7" t="s">
        <v>261</v>
      </c>
      <c r="L1373" s="7" t="s">
        <v>852</v>
      </c>
      <c r="M1373" s="7" t="s">
        <v>263</v>
      </c>
      <c r="N1373" s="7" t="s">
        <v>260</v>
      </c>
      <c r="O1373" s="7"/>
      <c r="P1373" s="37"/>
      <c r="Q1373" s="7"/>
    </row>
    <row r="1374">
      <c r="A1374" s="7">
        <v>1369.0</v>
      </c>
      <c r="B1374" s="7" t="s">
        <v>265</v>
      </c>
      <c r="C1374" s="7" t="str">
        <f>IFERROR(__xludf.DUMMYFUNCTION("GOOGLETRANSLATE($B1374, $A$2, $B$2)"),"More than 30 days ago")</f>
        <v>More than 30 days ago</v>
      </c>
      <c r="D1374" s="7" t="s">
        <v>2393</v>
      </c>
      <c r="E1374" s="7" t="s">
        <v>1944</v>
      </c>
      <c r="F1374" s="7" t="s">
        <v>1945</v>
      </c>
      <c r="G1374" s="7" t="s">
        <v>260</v>
      </c>
      <c r="H1374" s="7" t="s">
        <v>261</v>
      </c>
      <c r="I1374" s="7" t="s">
        <v>261</v>
      </c>
      <c r="J1374" s="7" t="str">
        <f>IFERROR(__xludf.DUMMYFUNCTION("GOOGLETRANSLATE($I1374, ""de"", ""en"")"),"NO SALARY DATA")</f>
        <v>NO SALARY DATA</v>
      </c>
      <c r="K1374" s="7" t="s">
        <v>261</v>
      </c>
      <c r="L1374" s="7" t="s">
        <v>423</v>
      </c>
      <c r="M1374" s="7" t="s">
        <v>263</v>
      </c>
      <c r="N1374" s="7" t="s">
        <v>260</v>
      </c>
      <c r="O1374" s="7"/>
      <c r="P1374" s="37"/>
      <c r="Q1374" s="7"/>
    </row>
    <row r="1375">
      <c r="A1375" s="7">
        <v>1370.0</v>
      </c>
      <c r="B1375" s="7" t="s">
        <v>302</v>
      </c>
      <c r="C1375" s="7" t="str">
        <f>IFERROR(__xludf.DUMMYFUNCTION("GOOGLETRANSLATE($B1375, $A$2, $B$2)"),"today")</f>
        <v>today</v>
      </c>
      <c r="D1375" s="7" t="s">
        <v>2279</v>
      </c>
      <c r="E1375" s="7" t="s">
        <v>401</v>
      </c>
      <c r="F1375" s="7" t="s">
        <v>260</v>
      </c>
      <c r="G1375" s="7" t="s">
        <v>260</v>
      </c>
      <c r="H1375" s="7" t="s">
        <v>261</v>
      </c>
      <c r="I1375" s="7" t="s">
        <v>261</v>
      </c>
      <c r="J1375" s="7" t="str">
        <f>IFERROR(__xludf.DUMMYFUNCTION("GOOGLETRANSLATE($I1375, ""de"", ""en"")"),"NO SALARY DATA")</f>
        <v>NO SALARY DATA</v>
      </c>
      <c r="K1375" s="7" t="s">
        <v>261</v>
      </c>
      <c r="L1375" s="7" t="s">
        <v>423</v>
      </c>
      <c r="M1375" s="7" t="s">
        <v>263</v>
      </c>
      <c r="N1375" s="7" t="s">
        <v>260</v>
      </c>
      <c r="O1375" s="7"/>
      <c r="P1375" s="35"/>
      <c r="Q1375" s="7"/>
    </row>
    <row r="1376">
      <c r="A1376" s="7">
        <v>1371.0</v>
      </c>
      <c r="B1376" s="7" t="s">
        <v>559</v>
      </c>
      <c r="C1376" s="7" t="str">
        <f>IFERROR(__xludf.DUMMYFUNCTION("GOOGLETRANSLATE($B1376, $A$2, $B$2)"),"18 days ago")</f>
        <v>18 days ago</v>
      </c>
      <c r="D1376" s="7" t="s">
        <v>2394</v>
      </c>
      <c r="E1376" s="7" t="s">
        <v>343</v>
      </c>
      <c r="F1376" s="7" t="s">
        <v>2395</v>
      </c>
      <c r="G1376" s="7" t="s">
        <v>260</v>
      </c>
      <c r="H1376" s="7" t="s">
        <v>261</v>
      </c>
      <c r="I1376" s="7" t="s">
        <v>261</v>
      </c>
      <c r="J1376" s="7" t="str">
        <f>IFERROR(__xludf.DUMMYFUNCTION("GOOGLETRANSLATE($I1376, ""de"", ""en"")"),"NO SALARY DATA")</f>
        <v>NO SALARY DATA</v>
      </c>
      <c r="K1376" s="7" t="s">
        <v>261</v>
      </c>
      <c r="L1376" s="7" t="s">
        <v>728</v>
      </c>
      <c r="M1376" s="7" t="s">
        <v>263</v>
      </c>
      <c r="N1376" s="7" t="s">
        <v>819</v>
      </c>
      <c r="O1376" s="7"/>
      <c r="P1376" s="37"/>
      <c r="Q1376" s="7"/>
    </row>
    <row r="1377">
      <c r="A1377" s="7">
        <v>1372.0</v>
      </c>
      <c r="B1377" s="7" t="s">
        <v>637</v>
      </c>
      <c r="C1377" s="7" t="str">
        <f>IFERROR(__xludf.DUMMYFUNCTION("GOOGLETRANSLATE($B1377, $A$2, $B$2)"),"17 days ago")</f>
        <v>17 days ago</v>
      </c>
      <c r="D1377" s="7" t="s">
        <v>2326</v>
      </c>
      <c r="E1377" s="7" t="s">
        <v>271</v>
      </c>
      <c r="F1377" s="7" t="s">
        <v>260</v>
      </c>
      <c r="G1377" s="7" t="s">
        <v>260</v>
      </c>
      <c r="H1377" s="7" t="s">
        <v>261</v>
      </c>
      <c r="I1377" s="7" t="s">
        <v>261</v>
      </c>
      <c r="J1377" s="7" t="str">
        <f>IFERROR(__xludf.DUMMYFUNCTION("GOOGLETRANSLATE($I1377, ""de"", ""en"")"),"NO SALARY DATA")</f>
        <v>NO SALARY DATA</v>
      </c>
      <c r="K1377" s="7" t="s">
        <v>261</v>
      </c>
      <c r="L1377" s="7"/>
      <c r="M1377" s="7" t="s">
        <v>263</v>
      </c>
      <c r="N1377" s="7" t="s">
        <v>260</v>
      </c>
      <c r="O1377" s="7"/>
      <c r="P1377" s="37"/>
      <c r="Q1377" s="7"/>
    </row>
    <row r="1378">
      <c r="A1378" s="7">
        <v>1373.0</v>
      </c>
      <c r="B1378" s="7" t="s">
        <v>346</v>
      </c>
      <c r="C1378" s="7" t="str">
        <f>IFERROR(__xludf.DUMMYFUNCTION("GOOGLETRANSLATE($B1378, $A$2, $B$2)"),"12 days ago")</f>
        <v>12 days ago</v>
      </c>
      <c r="D1378" s="7" t="s">
        <v>2209</v>
      </c>
      <c r="E1378" s="7" t="s">
        <v>258</v>
      </c>
      <c r="F1378" s="7" t="s">
        <v>260</v>
      </c>
      <c r="G1378" s="7" t="s">
        <v>260</v>
      </c>
      <c r="H1378" s="7" t="s">
        <v>261</v>
      </c>
      <c r="I1378" s="7" t="s">
        <v>261</v>
      </c>
      <c r="J1378" s="7" t="str">
        <f>IFERROR(__xludf.DUMMYFUNCTION("GOOGLETRANSLATE($I1378, ""de"", ""en"")"),"NO SALARY DATA")</f>
        <v>NO SALARY DATA</v>
      </c>
      <c r="K1378" s="7" t="s">
        <v>261</v>
      </c>
      <c r="L1378" s="7" t="s">
        <v>2210</v>
      </c>
      <c r="M1378" s="7" t="s">
        <v>263</v>
      </c>
      <c r="N1378" s="7" t="s">
        <v>260</v>
      </c>
      <c r="O1378" s="7"/>
      <c r="P1378" s="37"/>
      <c r="Q1378" s="7"/>
    </row>
    <row r="1379">
      <c r="A1379" s="7">
        <v>1374.0</v>
      </c>
      <c r="B1379" s="7" t="s">
        <v>469</v>
      </c>
      <c r="C1379" s="7" t="str">
        <f>IFERROR(__xludf.DUMMYFUNCTION("GOOGLETRANSLATE($B1379, $A$2, $B$2)"),"19 days ago")</f>
        <v>19 days ago</v>
      </c>
      <c r="D1379" s="7" t="s">
        <v>2205</v>
      </c>
      <c r="E1379" s="7" t="s">
        <v>348</v>
      </c>
      <c r="F1379" s="7" t="s">
        <v>260</v>
      </c>
      <c r="G1379" s="7" t="s">
        <v>260</v>
      </c>
      <c r="H1379" s="7" t="s">
        <v>261</v>
      </c>
      <c r="I1379" s="7" t="s">
        <v>261</v>
      </c>
      <c r="J1379" s="7" t="str">
        <f>IFERROR(__xludf.DUMMYFUNCTION("GOOGLETRANSLATE($I1379, ""de"", ""en"")"),"NO SALARY DATA")</f>
        <v>NO SALARY DATA</v>
      </c>
      <c r="K1379" s="7" t="s">
        <v>261</v>
      </c>
      <c r="L1379" s="7"/>
      <c r="M1379" s="7" t="s">
        <v>263</v>
      </c>
      <c r="N1379" s="7" t="s">
        <v>260</v>
      </c>
      <c r="O1379" s="7"/>
      <c r="P1379" s="37"/>
      <c r="Q1379" s="7"/>
    </row>
    <row r="1380">
      <c r="A1380" s="7">
        <v>1375.0</v>
      </c>
      <c r="B1380" s="7" t="s">
        <v>332</v>
      </c>
      <c r="C1380" s="7" t="str">
        <f>IFERROR(__xludf.DUMMYFUNCTION("GOOGLETRANSLATE($B1380, $A$2, $B$2)"),"4 days ago")</f>
        <v>4 days ago</v>
      </c>
      <c r="D1380" s="7" t="s">
        <v>2211</v>
      </c>
      <c r="E1380" s="7" t="s">
        <v>1273</v>
      </c>
      <c r="F1380" s="7" t="s">
        <v>260</v>
      </c>
      <c r="G1380" s="7" t="s">
        <v>260</v>
      </c>
      <c r="H1380" s="7" t="s">
        <v>261</v>
      </c>
      <c r="I1380" s="7" t="s">
        <v>261</v>
      </c>
      <c r="J1380" s="7" t="str">
        <f>IFERROR(__xludf.DUMMYFUNCTION("GOOGLETRANSLATE($I1380, ""de"", ""en"")"),"NO SALARY DATA")</f>
        <v>NO SALARY DATA</v>
      </c>
      <c r="K1380" s="7" t="s">
        <v>261</v>
      </c>
      <c r="L1380" s="7"/>
      <c r="M1380" s="7" t="s">
        <v>263</v>
      </c>
      <c r="N1380" s="7" t="s">
        <v>260</v>
      </c>
      <c r="O1380" s="7"/>
      <c r="P1380" s="37"/>
      <c r="Q1380" s="7"/>
    </row>
    <row r="1381">
      <c r="A1381" s="7">
        <v>1376.0</v>
      </c>
      <c r="B1381" s="7" t="s">
        <v>341</v>
      </c>
      <c r="C1381" s="7" t="str">
        <f>IFERROR(__xludf.DUMMYFUNCTION("GOOGLETRANSLATE($B1381, $A$2, $B$2)"),"before 14 days")</f>
        <v>before 14 days</v>
      </c>
      <c r="D1381" s="7" t="s">
        <v>2304</v>
      </c>
      <c r="E1381" s="7" t="s">
        <v>372</v>
      </c>
      <c r="F1381" s="7" t="s">
        <v>260</v>
      </c>
      <c r="G1381" s="7" t="s">
        <v>260</v>
      </c>
      <c r="H1381" s="7" t="s">
        <v>261</v>
      </c>
      <c r="I1381" s="7" t="s">
        <v>261</v>
      </c>
      <c r="J1381" s="7" t="str">
        <f>IFERROR(__xludf.DUMMYFUNCTION("GOOGLETRANSLATE($I1381, ""de"", ""en"")"),"NO SALARY DATA")</f>
        <v>NO SALARY DATA</v>
      </c>
      <c r="K1381" s="7" t="s">
        <v>261</v>
      </c>
      <c r="L1381" s="7" t="s">
        <v>838</v>
      </c>
      <c r="M1381" s="7" t="s">
        <v>263</v>
      </c>
      <c r="N1381" s="7" t="s">
        <v>260</v>
      </c>
      <c r="O1381" s="7"/>
      <c r="P1381" s="37"/>
      <c r="Q1381" s="7"/>
    </row>
    <row r="1382">
      <c r="A1382" s="7">
        <v>1377.0</v>
      </c>
      <c r="B1382" s="7" t="s">
        <v>469</v>
      </c>
      <c r="C1382" s="7" t="str">
        <f>IFERROR(__xludf.DUMMYFUNCTION("GOOGLETRANSLATE($B1382, $A$2, $B$2)"),"19 days ago")</f>
        <v>19 days ago</v>
      </c>
      <c r="D1382" s="7" t="s">
        <v>2291</v>
      </c>
      <c r="E1382" s="7" t="s">
        <v>348</v>
      </c>
      <c r="F1382" s="7" t="s">
        <v>260</v>
      </c>
      <c r="G1382" s="7" t="s">
        <v>260</v>
      </c>
      <c r="H1382" s="7" t="s">
        <v>261</v>
      </c>
      <c r="I1382" s="7" t="s">
        <v>261</v>
      </c>
      <c r="J1382" s="7" t="str">
        <f>IFERROR(__xludf.DUMMYFUNCTION("GOOGLETRANSLATE($I1382, ""de"", ""en"")"),"NO SALARY DATA")</f>
        <v>NO SALARY DATA</v>
      </c>
      <c r="K1382" s="7" t="s">
        <v>261</v>
      </c>
      <c r="L1382" s="7" t="s">
        <v>782</v>
      </c>
      <c r="M1382" s="7" t="s">
        <v>263</v>
      </c>
      <c r="N1382" s="7" t="s">
        <v>260</v>
      </c>
      <c r="O1382" s="7"/>
      <c r="P1382" s="37"/>
      <c r="Q1382" s="7"/>
    </row>
    <row r="1383">
      <c r="A1383" s="7">
        <v>1378.0</v>
      </c>
      <c r="B1383" s="7" t="s">
        <v>358</v>
      </c>
      <c r="C1383" s="7" t="str">
        <f>IFERROR(__xludf.DUMMYFUNCTION("GOOGLETRANSLATE($B1383, $A$2, $B$2)"),"28 days ago")</f>
        <v>28 days ago</v>
      </c>
      <c r="D1383" s="7" t="s">
        <v>2212</v>
      </c>
      <c r="E1383" s="7" t="s">
        <v>401</v>
      </c>
      <c r="F1383" s="7" t="s">
        <v>260</v>
      </c>
      <c r="G1383" s="7" t="s">
        <v>260</v>
      </c>
      <c r="H1383" s="7" t="s">
        <v>261</v>
      </c>
      <c r="I1383" s="7" t="s">
        <v>261</v>
      </c>
      <c r="J1383" s="7" t="str">
        <f>IFERROR(__xludf.DUMMYFUNCTION("GOOGLETRANSLATE($I1383, ""de"", ""en"")"),"NO SALARY DATA")</f>
        <v>NO SALARY DATA</v>
      </c>
      <c r="K1383" s="7" t="s">
        <v>261</v>
      </c>
      <c r="L1383" s="7" t="s">
        <v>423</v>
      </c>
      <c r="M1383" s="7" t="s">
        <v>263</v>
      </c>
      <c r="N1383" s="7" t="s">
        <v>260</v>
      </c>
      <c r="O1383" s="7"/>
      <c r="P1383" s="37"/>
      <c r="Q1383" s="7"/>
    </row>
    <row r="1384">
      <c r="A1384" s="7">
        <v>1379.0</v>
      </c>
      <c r="B1384" s="7" t="s">
        <v>265</v>
      </c>
      <c r="C1384" s="7" t="str">
        <f>IFERROR(__xludf.DUMMYFUNCTION("GOOGLETRANSLATE($B1384, $A$2, $B$2)"),"More than 30 days ago")</f>
        <v>More than 30 days ago</v>
      </c>
      <c r="D1384" s="7" t="s">
        <v>2266</v>
      </c>
      <c r="E1384" s="7" t="s">
        <v>2267</v>
      </c>
      <c r="F1384" s="7" t="s">
        <v>260</v>
      </c>
      <c r="G1384" s="7" t="s">
        <v>260</v>
      </c>
      <c r="H1384" s="7" t="s">
        <v>261</v>
      </c>
      <c r="I1384" s="7" t="s">
        <v>261</v>
      </c>
      <c r="J1384" s="7" t="str">
        <f>IFERROR(__xludf.DUMMYFUNCTION("GOOGLETRANSLATE($I1384, ""de"", ""en"")"),"NO SALARY DATA")</f>
        <v>NO SALARY DATA</v>
      </c>
      <c r="K1384" s="7" t="s">
        <v>261</v>
      </c>
      <c r="L1384" s="7" t="s">
        <v>627</v>
      </c>
      <c r="M1384" s="7" t="s">
        <v>263</v>
      </c>
      <c r="N1384" s="7" t="s">
        <v>260</v>
      </c>
      <c r="O1384" s="7"/>
      <c r="P1384" s="37"/>
      <c r="Q1384" s="7"/>
    </row>
    <row r="1385">
      <c r="A1385" s="7">
        <v>1380.0</v>
      </c>
      <c r="B1385" s="7" t="s">
        <v>392</v>
      </c>
      <c r="C1385" s="7" t="str">
        <f>IFERROR(__xludf.DUMMYFUNCTION("GOOGLETRANSLATE($B1385, $A$2, $B$2)"),"10 days ago")</f>
        <v>10 days ago</v>
      </c>
      <c r="D1385" s="7" t="s">
        <v>2299</v>
      </c>
      <c r="E1385" s="7" t="s">
        <v>280</v>
      </c>
      <c r="F1385" s="7" t="s">
        <v>260</v>
      </c>
      <c r="G1385" s="7" t="s">
        <v>260</v>
      </c>
      <c r="H1385" s="7" t="s">
        <v>261</v>
      </c>
      <c r="I1385" s="7" t="s">
        <v>261</v>
      </c>
      <c r="J1385" s="7" t="str">
        <f>IFERROR(__xludf.DUMMYFUNCTION("GOOGLETRANSLATE($I1385, ""de"", ""en"")"),"NO SALARY DATA")</f>
        <v>NO SALARY DATA</v>
      </c>
      <c r="K1385" s="7" t="s">
        <v>261</v>
      </c>
      <c r="L1385" s="7"/>
      <c r="M1385" s="7" t="s">
        <v>263</v>
      </c>
      <c r="N1385" s="7" t="s">
        <v>260</v>
      </c>
      <c r="O1385" s="7"/>
      <c r="P1385" s="37"/>
      <c r="Q1385" s="7"/>
    </row>
    <row r="1386">
      <c r="A1386" s="7">
        <v>1381.0</v>
      </c>
      <c r="B1386" s="7" t="s">
        <v>332</v>
      </c>
      <c r="C1386" s="7" t="str">
        <f>IFERROR(__xludf.DUMMYFUNCTION("GOOGLETRANSLATE($B1386, $A$2, $B$2)"),"4 days ago")</f>
        <v>4 days ago</v>
      </c>
      <c r="D1386" s="7" t="s">
        <v>2233</v>
      </c>
      <c r="E1386" s="7" t="s">
        <v>343</v>
      </c>
      <c r="F1386" s="7" t="s">
        <v>2234</v>
      </c>
      <c r="G1386" s="7" t="s">
        <v>260</v>
      </c>
      <c r="H1386" s="7" t="s">
        <v>261</v>
      </c>
      <c r="I1386" s="7" t="s">
        <v>261</v>
      </c>
      <c r="J1386" s="7" t="str">
        <f>IFERROR(__xludf.DUMMYFUNCTION("GOOGLETRANSLATE($I1386, ""de"", ""en"")"),"NO SALARY DATA")</f>
        <v>NO SALARY DATA</v>
      </c>
      <c r="K1386" s="7" t="s">
        <v>261</v>
      </c>
      <c r="L1386" s="7" t="s">
        <v>1179</v>
      </c>
      <c r="M1386" s="7" t="s">
        <v>263</v>
      </c>
      <c r="N1386" s="7" t="s">
        <v>260</v>
      </c>
      <c r="O1386" s="7"/>
      <c r="P1386" s="37"/>
      <c r="Q1386" s="7"/>
    </row>
    <row r="1387">
      <c r="A1387" s="7">
        <v>1382.0</v>
      </c>
      <c r="B1387" s="7" t="s">
        <v>265</v>
      </c>
      <c r="C1387" s="7" t="str">
        <f>IFERROR(__xludf.DUMMYFUNCTION("GOOGLETRANSLATE($B1387, $A$2, $B$2)"),"More than 30 days ago")</f>
        <v>More than 30 days ago</v>
      </c>
      <c r="D1387" s="7" t="s">
        <v>2246</v>
      </c>
      <c r="E1387" s="7" t="s">
        <v>480</v>
      </c>
      <c r="F1387" s="7" t="s">
        <v>260</v>
      </c>
      <c r="G1387" s="7" t="s">
        <v>260</v>
      </c>
      <c r="H1387" s="7" t="s">
        <v>261</v>
      </c>
      <c r="I1387" s="7" t="s">
        <v>261</v>
      </c>
      <c r="J1387" s="7" t="str">
        <f>IFERROR(__xludf.DUMMYFUNCTION("GOOGLETRANSLATE($I1387, ""de"", ""en"")"),"NO SALARY DATA")</f>
        <v>NO SALARY DATA</v>
      </c>
      <c r="K1387" s="7" t="s">
        <v>261</v>
      </c>
      <c r="L1387" s="7"/>
      <c r="M1387" s="7" t="s">
        <v>263</v>
      </c>
      <c r="N1387" s="7" t="s">
        <v>260</v>
      </c>
      <c r="O1387" s="7"/>
      <c r="P1387" s="37"/>
      <c r="Q1387" s="7"/>
    </row>
    <row r="1388">
      <c r="A1388" s="7">
        <v>1383.0</v>
      </c>
      <c r="B1388" s="7" t="s">
        <v>265</v>
      </c>
      <c r="C1388" s="7" t="str">
        <f>IFERROR(__xludf.DUMMYFUNCTION("GOOGLETRANSLATE($B1388, $A$2, $B$2)"),"More than 30 days ago")</f>
        <v>More than 30 days ago</v>
      </c>
      <c r="D1388" s="7" t="s">
        <v>2295</v>
      </c>
      <c r="E1388" s="7" t="s">
        <v>1209</v>
      </c>
      <c r="F1388" s="7" t="s">
        <v>260</v>
      </c>
      <c r="G1388" s="7" t="s">
        <v>260</v>
      </c>
      <c r="H1388" s="7" t="s">
        <v>261</v>
      </c>
      <c r="I1388" s="7" t="s">
        <v>261</v>
      </c>
      <c r="J1388" s="7" t="str">
        <f>IFERROR(__xludf.DUMMYFUNCTION("GOOGLETRANSLATE($I1388, ""de"", ""en"")"),"NO SALARY DATA")</f>
        <v>NO SALARY DATA</v>
      </c>
      <c r="K1388" s="7" t="s">
        <v>261</v>
      </c>
      <c r="L1388" s="7" t="s">
        <v>2296</v>
      </c>
      <c r="M1388" s="7" t="s">
        <v>263</v>
      </c>
      <c r="N1388" s="7" t="s">
        <v>260</v>
      </c>
      <c r="O1388" s="7"/>
      <c r="P1388" s="37"/>
      <c r="Q1388" s="7"/>
    </row>
    <row r="1389">
      <c r="A1389" s="7">
        <v>1384.0</v>
      </c>
      <c r="B1389" s="7" t="s">
        <v>346</v>
      </c>
      <c r="C1389" s="7" t="str">
        <f>IFERROR(__xludf.DUMMYFUNCTION("GOOGLETRANSLATE($B1389, $A$2, $B$2)"),"12 days ago")</f>
        <v>12 days ago</v>
      </c>
      <c r="D1389" s="7" t="s">
        <v>2384</v>
      </c>
      <c r="E1389" s="7" t="s">
        <v>280</v>
      </c>
      <c r="F1389" s="7" t="s">
        <v>260</v>
      </c>
      <c r="G1389" s="7" t="s">
        <v>260</v>
      </c>
      <c r="H1389" s="7" t="s">
        <v>261</v>
      </c>
      <c r="I1389" s="7" t="s">
        <v>261</v>
      </c>
      <c r="J1389" s="7" t="str">
        <f>IFERROR(__xludf.DUMMYFUNCTION("GOOGLETRANSLATE($I1389, ""de"", ""en"")"),"NO SALARY DATA")</f>
        <v>NO SALARY DATA</v>
      </c>
      <c r="K1389" s="7" t="s">
        <v>261</v>
      </c>
      <c r="L1389" s="7" t="s">
        <v>423</v>
      </c>
      <c r="M1389" s="7" t="s">
        <v>263</v>
      </c>
      <c r="N1389" s="7" t="s">
        <v>260</v>
      </c>
      <c r="O1389" s="7"/>
      <c r="P1389" s="37"/>
      <c r="Q1389" s="7"/>
    </row>
    <row r="1390">
      <c r="A1390" s="7">
        <v>1385.0</v>
      </c>
      <c r="B1390" s="7" t="s">
        <v>265</v>
      </c>
      <c r="C1390" s="7" t="str">
        <f>IFERROR(__xludf.DUMMYFUNCTION("GOOGLETRANSLATE($B1390, $A$2, $B$2)"),"More than 30 days ago")</f>
        <v>More than 30 days ago</v>
      </c>
      <c r="D1390" s="7" t="s">
        <v>2230</v>
      </c>
      <c r="E1390" s="7" t="s">
        <v>985</v>
      </c>
      <c r="F1390" s="7" t="s">
        <v>2231</v>
      </c>
      <c r="G1390" s="7" t="s">
        <v>260</v>
      </c>
      <c r="H1390" s="7" t="s">
        <v>261</v>
      </c>
      <c r="I1390" s="7" t="s">
        <v>261</v>
      </c>
      <c r="J1390" s="7" t="str">
        <f>IFERROR(__xludf.DUMMYFUNCTION("GOOGLETRANSLATE($I1390, ""de"", ""en"")"),"NO SALARY DATA")</f>
        <v>NO SALARY DATA</v>
      </c>
      <c r="K1390" s="7" t="s">
        <v>261</v>
      </c>
      <c r="L1390" s="7" t="s">
        <v>562</v>
      </c>
      <c r="M1390" s="7" t="s">
        <v>263</v>
      </c>
      <c r="N1390" s="7" t="s">
        <v>260</v>
      </c>
      <c r="O1390" s="7"/>
      <c r="P1390" s="37"/>
      <c r="Q1390" s="7"/>
    </row>
    <row r="1391">
      <c r="A1391" s="7">
        <v>1386.0</v>
      </c>
      <c r="B1391" s="7" t="s">
        <v>265</v>
      </c>
      <c r="C1391" s="7" t="str">
        <f>IFERROR(__xludf.DUMMYFUNCTION("GOOGLETRANSLATE($B1391, $A$2, $B$2)"),"More than 30 days ago")</f>
        <v>More than 30 days ago</v>
      </c>
      <c r="D1391" s="7" t="s">
        <v>2200</v>
      </c>
      <c r="E1391" s="7" t="s">
        <v>405</v>
      </c>
      <c r="F1391" s="7" t="s">
        <v>260</v>
      </c>
      <c r="G1391" s="7" t="s">
        <v>260</v>
      </c>
      <c r="H1391" s="7" t="s">
        <v>261</v>
      </c>
      <c r="I1391" s="7" t="s">
        <v>261</v>
      </c>
      <c r="J1391" s="7" t="str">
        <f>IFERROR(__xludf.DUMMYFUNCTION("GOOGLETRANSLATE($I1391, ""de"", ""en"")"),"NO SALARY DATA")</f>
        <v>NO SALARY DATA</v>
      </c>
      <c r="K1391" s="7" t="s">
        <v>261</v>
      </c>
      <c r="L1391" s="7"/>
      <c r="M1391" s="7" t="s">
        <v>263</v>
      </c>
      <c r="N1391" s="7" t="s">
        <v>260</v>
      </c>
      <c r="O1391" s="7"/>
      <c r="P1391" s="37"/>
      <c r="Q1391" s="7"/>
    </row>
    <row r="1392">
      <c r="A1392" s="7">
        <v>1387.0</v>
      </c>
      <c r="B1392" s="7" t="s">
        <v>332</v>
      </c>
      <c r="C1392" s="7" t="str">
        <f>IFERROR(__xludf.DUMMYFUNCTION("GOOGLETRANSLATE($B1392, $A$2, $B$2)"),"4 days ago")</f>
        <v>4 days ago</v>
      </c>
      <c r="D1392" s="7" t="s">
        <v>2362</v>
      </c>
      <c r="E1392" s="7" t="s">
        <v>1227</v>
      </c>
      <c r="F1392" s="7" t="s">
        <v>260</v>
      </c>
      <c r="G1392" s="7" t="s">
        <v>260</v>
      </c>
      <c r="H1392" s="7" t="s">
        <v>261</v>
      </c>
      <c r="I1392" s="7" t="s">
        <v>261</v>
      </c>
      <c r="J1392" s="7" t="str">
        <f>IFERROR(__xludf.DUMMYFUNCTION("GOOGLETRANSLATE($I1392, ""de"", ""en"")"),"NO SALARY DATA")</f>
        <v>NO SALARY DATA</v>
      </c>
      <c r="K1392" s="7" t="s">
        <v>261</v>
      </c>
      <c r="L1392" s="7"/>
      <c r="M1392" s="7" t="s">
        <v>263</v>
      </c>
      <c r="N1392" s="7" t="s">
        <v>260</v>
      </c>
      <c r="O1392" s="7"/>
      <c r="P1392" s="37"/>
      <c r="Q1392" s="7"/>
    </row>
    <row r="1393">
      <c r="A1393" s="7">
        <v>1388.0</v>
      </c>
      <c r="B1393" s="7" t="s">
        <v>265</v>
      </c>
      <c r="C1393" s="7" t="str">
        <f>IFERROR(__xludf.DUMMYFUNCTION("GOOGLETRANSLATE($B1393, $A$2, $B$2)"),"More than 30 days ago")</f>
        <v>More than 30 days ago</v>
      </c>
      <c r="D1393" s="7" t="s">
        <v>2247</v>
      </c>
      <c r="E1393" s="7" t="s">
        <v>401</v>
      </c>
      <c r="F1393" s="7" t="s">
        <v>260</v>
      </c>
      <c r="G1393" s="7" t="s">
        <v>260</v>
      </c>
      <c r="H1393" s="7" t="s">
        <v>261</v>
      </c>
      <c r="I1393" s="7" t="s">
        <v>261</v>
      </c>
      <c r="J1393" s="7" t="str">
        <f>IFERROR(__xludf.DUMMYFUNCTION("GOOGLETRANSLATE($I1393, ""de"", ""en"")"),"NO SALARY DATA")</f>
        <v>NO SALARY DATA</v>
      </c>
      <c r="K1393" s="7" t="s">
        <v>261</v>
      </c>
      <c r="L1393" s="7"/>
      <c r="M1393" s="7" t="s">
        <v>263</v>
      </c>
      <c r="N1393" s="7" t="s">
        <v>260</v>
      </c>
      <c r="O1393" s="7"/>
      <c r="P1393" s="37"/>
      <c r="Q1393" s="7"/>
    </row>
    <row r="1394">
      <c r="A1394" s="7">
        <v>1389.0</v>
      </c>
      <c r="B1394" s="7" t="s">
        <v>346</v>
      </c>
      <c r="C1394" s="7" t="str">
        <f>IFERROR(__xludf.DUMMYFUNCTION("GOOGLETRANSLATE($B1394, $A$2, $B$2)"),"12 days ago")</f>
        <v>12 days ago</v>
      </c>
      <c r="D1394" s="7" t="s">
        <v>2320</v>
      </c>
      <c r="E1394" s="7" t="s">
        <v>271</v>
      </c>
      <c r="F1394" s="7" t="s">
        <v>260</v>
      </c>
      <c r="G1394" s="7" t="s">
        <v>260</v>
      </c>
      <c r="H1394" s="7" t="s">
        <v>261</v>
      </c>
      <c r="I1394" s="7" t="s">
        <v>261</v>
      </c>
      <c r="J1394" s="7" t="str">
        <f>IFERROR(__xludf.DUMMYFUNCTION("GOOGLETRANSLATE($I1394, ""de"", ""en"")"),"NO SALARY DATA")</f>
        <v>NO SALARY DATA</v>
      </c>
      <c r="K1394" s="7" t="s">
        <v>261</v>
      </c>
      <c r="L1394" s="7" t="s">
        <v>585</v>
      </c>
      <c r="M1394" s="7" t="s">
        <v>673</v>
      </c>
      <c r="N1394" s="7" t="s">
        <v>260</v>
      </c>
      <c r="O1394" s="7"/>
      <c r="P1394" s="37"/>
      <c r="Q1394" s="7"/>
    </row>
    <row r="1395">
      <c r="A1395" s="7">
        <v>1390.0</v>
      </c>
      <c r="B1395" s="7" t="s">
        <v>324</v>
      </c>
      <c r="C1395" s="7" t="str">
        <f>IFERROR(__xludf.DUMMYFUNCTION("GOOGLETRANSLATE($B1395, $A$2, $B$2)"),"3 days ago")</f>
        <v>3 days ago</v>
      </c>
      <c r="D1395" s="7" t="s">
        <v>2325</v>
      </c>
      <c r="E1395" s="7" t="s">
        <v>368</v>
      </c>
      <c r="F1395" s="7" t="s">
        <v>260</v>
      </c>
      <c r="G1395" s="7" t="s">
        <v>260</v>
      </c>
      <c r="H1395" s="7" t="s">
        <v>261</v>
      </c>
      <c r="I1395" s="7" t="s">
        <v>261</v>
      </c>
      <c r="J1395" s="7" t="str">
        <f>IFERROR(__xludf.DUMMYFUNCTION("GOOGLETRANSLATE($I1395, ""de"", ""en"")"),"NO SALARY DATA")</f>
        <v>NO SALARY DATA</v>
      </c>
      <c r="K1395" s="7" t="s">
        <v>261</v>
      </c>
      <c r="L1395" s="7" t="s">
        <v>429</v>
      </c>
      <c r="M1395" s="7" t="s">
        <v>263</v>
      </c>
      <c r="N1395" s="7" t="s">
        <v>260</v>
      </c>
      <c r="O1395" s="7"/>
      <c r="P1395" s="37"/>
      <c r="Q1395" s="7"/>
    </row>
    <row r="1396">
      <c r="A1396" s="7">
        <v>1391.0</v>
      </c>
      <c r="B1396" s="7" t="s">
        <v>265</v>
      </c>
      <c r="C1396" s="7" t="str">
        <f>IFERROR(__xludf.DUMMYFUNCTION("GOOGLETRANSLATE($B1396, $A$2, $B$2)"),"More than 30 days ago")</f>
        <v>More than 30 days ago</v>
      </c>
      <c r="D1396" s="7" t="s">
        <v>2228</v>
      </c>
      <c r="E1396" s="7" t="s">
        <v>348</v>
      </c>
      <c r="F1396" s="7" t="s">
        <v>260</v>
      </c>
      <c r="G1396" s="7" t="s">
        <v>260</v>
      </c>
      <c r="H1396" s="7" t="s">
        <v>261</v>
      </c>
      <c r="I1396" s="7" t="s">
        <v>261</v>
      </c>
      <c r="J1396" s="7" t="str">
        <f>IFERROR(__xludf.DUMMYFUNCTION("GOOGLETRANSLATE($I1396, ""de"", ""en"")"),"NO SALARY DATA")</f>
        <v>NO SALARY DATA</v>
      </c>
      <c r="K1396" s="7" t="s">
        <v>261</v>
      </c>
      <c r="L1396" s="7"/>
      <c r="M1396" s="7" t="s">
        <v>263</v>
      </c>
      <c r="N1396" s="7" t="s">
        <v>260</v>
      </c>
      <c r="O1396" s="7"/>
      <c r="P1396" s="37"/>
      <c r="Q1396" s="7"/>
    </row>
    <row r="1397">
      <c r="A1397" s="7">
        <v>1392.0</v>
      </c>
      <c r="B1397" s="7" t="s">
        <v>265</v>
      </c>
      <c r="C1397" s="7" t="str">
        <f>IFERROR(__xludf.DUMMYFUNCTION("GOOGLETRANSLATE($B1397, $A$2, $B$2)"),"More than 30 days ago")</f>
        <v>More than 30 days ago</v>
      </c>
      <c r="D1397" s="7" t="s">
        <v>2207</v>
      </c>
      <c r="E1397" s="7" t="s">
        <v>258</v>
      </c>
      <c r="F1397" s="7" t="s">
        <v>260</v>
      </c>
      <c r="G1397" s="7" t="s">
        <v>260</v>
      </c>
      <c r="H1397" s="7" t="s">
        <v>261</v>
      </c>
      <c r="I1397" s="7" t="s">
        <v>261</v>
      </c>
      <c r="J1397" s="7" t="str">
        <f>IFERROR(__xludf.DUMMYFUNCTION("GOOGLETRANSLATE($I1397, ""de"", ""en"")"),"NO SALARY DATA")</f>
        <v>NO SALARY DATA</v>
      </c>
      <c r="K1397" s="7" t="s">
        <v>261</v>
      </c>
      <c r="L1397" s="7" t="s">
        <v>2208</v>
      </c>
      <c r="M1397" s="7" t="s">
        <v>263</v>
      </c>
      <c r="N1397" s="7" t="s">
        <v>260</v>
      </c>
      <c r="O1397" s="7"/>
      <c r="P1397" s="37"/>
      <c r="Q1397" s="7"/>
    </row>
    <row r="1398">
      <c r="A1398" s="7">
        <v>1393.0</v>
      </c>
      <c r="B1398" s="7" t="s">
        <v>265</v>
      </c>
      <c r="C1398" s="7" t="str">
        <f>IFERROR(__xludf.DUMMYFUNCTION("GOOGLETRANSLATE($B1398, $A$2, $B$2)"),"More than 30 days ago")</f>
        <v>More than 30 days ago</v>
      </c>
      <c r="D1398" s="7" t="s">
        <v>2367</v>
      </c>
      <c r="E1398" s="7" t="s">
        <v>480</v>
      </c>
      <c r="F1398" s="7" t="s">
        <v>260</v>
      </c>
      <c r="G1398" s="7" t="s">
        <v>260</v>
      </c>
      <c r="H1398" s="7" t="s">
        <v>261</v>
      </c>
      <c r="I1398" s="7" t="s">
        <v>261</v>
      </c>
      <c r="J1398" s="7" t="str">
        <f>IFERROR(__xludf.DUMMYFUNCTION("GOOGLETRANSLATE($I1398, ""de"", ""en"")"),"NO SALARY DATA")</f>
        <v>NO SALARY DATA</v>
      </c>
      <c r="K1398" s="7" t="s">
        <v>261</v>
      </c>
      <c r="L1398" s="7" t="s">
        <v>1373</v>
      </c>
      <c r="M1398" s="7" t="s">
        <v>263</v>
      </c>
      <c r="N1398" s="7" t="s">
        <v>260</v>
      </c>
      <c r="O1398" s="7"/>
      <c r="P1398" s="37"/>
      <c r="Q1398" s="7"/>
    </row>
    <row r="1399">
      <c r="A1399" s="7">
        <v>1394.0</v>
      </c>
      <c r="B1399" s="7" t="s">
        <v>302</v>
      </c>
      <c r="C1399" s="7" t="str">
        <f>IFERROR(__xludf.DUMMYFUNCTION("GOOGLETRANSLATE($B1399, $A$2, $B$2)"),"today")</f>
        <v>today</v>
      </c>
      <c r="D1399" s="7" t="s">
        <v>2278</v>
      </c>
      <c r="E1399" s="7" t="s">
        <v>343</v>
      </c>
      <c r="F1399" s="7" t="s">
        <v>260</v>
      </c>
      <c r="G1399" s="7" t="s">
        <v>260</v>
      </c>
      <c r="H1399" s="7" t="s">
        <v>261</v>
      </c>
      <c r="I1399" s="7" t="s">
        <v>261</v>
      </c>
      <c r="J1399" s="7" t="str">
        <f>IFERROR(__xludf.DUMMYFUNCTION("GOOGLETRANSLATE($I1399, ""de"", ""en"")"),"NO SALARY DATA")</f>
        <v>NO SALARY DATA</v>
      </c>
      <c r="K1399" s="7" t="s">
        <v>261</v>
      </c>
      <c r="L1399" s="7"/>
      <c r="M1399" s="7" t="s">
        <v>263</v>
      </c>
      <c r="N1399" s="7" t="s">
        <v>260</v>
      </c>
      <c r="O1399" s="7"/>
      <c r="P1399" s="35"/>
      <c r="Q1399" s="7"/>
    </row>
    <row r="1400">
      <c r="A1400" s="7">
        <v>1395.0</v>
      </c>
      <c r="B1400" s="7" t="s">
        <v>559</v>
      </c>
      <c r="C1400" s="7" t="str">
        <f>IFERROR(__xludf.DUMMYFUNCTION("GOOGLETRANSLATE($B1400, $A$2, $B$2)"),"18 days ago")</f>
        <v>18 days ago</v>
      </c>
      <c r="D1400" s="7" t="s">
        <v>2394</v>
      </c>
      <c r="E1400" s="7" t="s">
        <v>343</v>
      </c>
      <c r="F1400" s="7" t="s">
        <v>2395</v>
      </c>
      <c r="G1400" s="7" t="s">
        <v>260</v>
      </c>
      <c r="H1400" s="7" t="s">
        <v>261</v>
      </c>
      <c r="I1400" s="7" t="s">
        <v>261</v>
      </c>
      <c r="J1400" s="7" t="str">
        <f>IFERROR(__xludf.DUMMYFUNCTION("GOOGLETRANSLATE($I1400, ""de"", ""en"")"),"NO SALARY DATA")</f>
        <v>NO SALARY DATA</v>
      </c>
      <c r="K1400" s="7" t="s">
        <v>261</v>
      </c>
      <c r="L1400" s="7" t="s">
        <v>728</v>
      </c>
      <c r="M1400" s="7" t="s">
        <v>263</v>
      </c>
      <c r="N1400" s="7" t="s">
        <v>819</v>
      </c>
      <c r="O1400" s="7"/>
      <c r="P1400" s="37"/>
      <c r="Q1400" s="7"/>
    </row>
    <row r="1401">
      <c r="A1401" s="7">
        <v>1396.0</v>
      </c>
      <c r="B1401" s="7" t="s">
        <v>379</v>
      </c>
      <c r="C1401" s="7" t="str">
        <f>IFERROR(__xludf.DUMMYFUNCTION("GOOGLETRANSLATE($B1401, $A$2, $B$2)"),"13 days ago")</f>
        <v>13 days ago</v>
      </c>
      <c r="D1401" s="7" t="s">
        <v>2396</v>
      </c>
      <c r="E1401" s="7" t="s">
        <v>280</v>
      </c>
      <c r="F1401" s="7" t="s">
        <v>260</v>
      </c>
      <c r="G1401" s="7" t="s">
        <v>260</v>
      </c>
      <c r="H1401" s="7" t="s">
        <v>261</v>
      </c>
      <c r="I1401" s="7" t="s">
        <v>261</v>
      </c>
      <c r="J1401" s="7" t="str">
        <f>IFERROR(__xludf.DUMMYFUNCTION("GOOGLETRANSLATE($I1401, ""de"", ""en"")"),"NO SALARY DATA")</f>
        <v>NO SALARY DATA</v>
      </c>
      <c r="K1401" s="7" t="s">
        <v>261</v>
      </c>
      <c r="L1401" s="7" t="s">
        <v>1373</v>
      </c>
      <c r="M1401" s="7" t="s">
        <v>263</v>
      </c>
      <c r="N1401" s="7" t="s">
        <v>260</v>
      </c>
      <c r="O1401" s="7"/>
      <c r="P1401" s="37"/>
      <c r="Q1401" s="7"/>
    </row>
    <row r="1402">
      <c r="A1402" s="7">
        <v>1397.0</v>
      </c>
      <c r="B1402" s="7" t="s">
        <v>375</v>
      </c>
      <c r="C1402" s="7" t="str">
        <f>IFERROR(__xludf.DUMMYFUNCTION("GOOGLETRANSLATE($B1402, $A$2, $B$2)"),"6 days ago")</f>
        <v>6 days ago</v>
      </c>
      <c r="D1402" s="7" t="s">
        <v>2397</v>
      </c>
      <c r="E1402" s="7" t="s">
        <v>683</v>
      </c>
      <c r="F1402" s="7" t="s">
        <v>260</v>
      </c>
      <c r="G1402" s="7" t="s">
        <v>260</v>
      </c>
      <c r="H1402" s="7" t="s">
        <v>261</v>
      </c>
      <c r="I1402" s="7" t="s">
        <v>261</v>
      </c>
      <c r="J1402" s="7" t="str">
        <f>IFERROR(__xludf.DUMMYFUNCTION("GOOGLETRANSLATE($I1402, ""de"", ""en"")"),"NO SALARY DATA")</f>
        <v>NO SALARY DATA</v>
      </c>
      <c r="K1402" s="7" t="s">
        <v>261</v>
      </c>
      <c r="L1402" s="7" t="s">
        <v>423</v>
      </c>
      <c r="M1402" s="7" t="s">
        <v>263</v>
      </c>
      <c r="N1402" s="7" t="s">
        <v>260</v>
      </c>
      <c r="O1402" s="7"/>
      <c r="P1402" s="35"/>
      <c r="Q1402" s="7"/>
    </row>
    <row r="1403">
      <c r="A1403" s="7">
        <v>1398.0</v>
      </c>
      <c r="B1403" s="7" t="s">
        <v>265</v>
      </c>
      <c r="C1403" s="7" t="str">
        <f>IFERROR(__xludf.DUMMYFUNCTION("GOOGLETRANSLATE($B1403, $A$2, $B$2)"),"More than 30 days ago")</f>
        <v>More than 30 days ago</v>
      </c>
      <c r="D1403" s="7" t="s">
        <v>2088</v>
      </c>
      <c r="E1403" s="7" t="s">
        <v>348</v>
      </c>
      <c r="F1403" s="7" t="s">
        <v>2089</v>
      </c>
      <c r="G1403" s="7" t="s">
        <v>260</v>
      </c>
      <c r="H1403" s="7" t="s">
        <v>261</v>
      </c>
      <c r="I1403" s="7" t="s">
        <v>261</v>
      </c>
      <c r="J1403" s="7" t="str">
        <f>IFERROR(__xludf.DUMMYFUNCTION("GOOGLETRANSLATE($I1403, ""de"", ""en"")"),"NO SALARY DATA")</f>
        <v>NO SALARY DATA</v>
      </c>
      <c r="K1403" s="7" t="s">
        <v>261</v>
      </c>
      <c r="L1403" s="7" t="s">
        <v>286</v>
      </c>
      <c r="M1403" s="7" t="s">
        <v>263</v>
      </c>
      <c r="N1403" s="7" t="s">
        <v>323</v>
      </c>
      <c r="O1403" s="7"/>
      <c r="P1403" s="37"/>
      <c r="Q1403" s="7"/>
    </row>
    <row r="1404">
      <c r="A1404" s="7">
        <v>1399.0</v>
      </c>
      <c r="B1404" s="7" t="s">
        <v>256</v>
      </c>
      <c r="C1404" s="7" t="str">
        <f>IFERROR(__xludf.DUMMYFUNCTION("GOOGLETRANSLATE($B1404, $A$2, $B$2)"),"7 days ago")</f>
        <v>7 days ago</v>
      </c>
      <c r="D1404" s="7" t="s">
        <v>2398</v>
      </c>
      <c r="E1404" s="7" t="s">
        <v>280</v>
      </c>
      <c r="F1404" s="7" t="s">
        <v>260</v>
      </c>
      <c r="G1404" s="7" t="s">
        <v>260</v>
      </c>
      <c r="H1404" s="7" t="s">
        <v>261</v>
      </c>
      <c r="I1404" s="7" t="s">
        <v>261</v>
      </c>
      <c r="J1404" s="7" t="str">
        <f>IFERROR(__xludf.DUMMYFUNCTION("GOOGLETRANSLATE($I1404, ""de"", ""en"")"),"NO SALARY DATA")</f>
        <v>NO SALARY DATA</v>
      </c>
      <c r="K1404" s="7" t="s">
        <v>261</v>
      </c>
      <c r="L1404" s="7" t="s">
        <v>1373</v>
      </c>
      <c r="M1404" s="7" t="s">
        <v>263</v>
      </c>
      <c r="N1404" s="7" t="s">
        <v>260</v>
      </c>
      <c r="O1404" s="7"/>
      <c r="P1404" s="35"/>
      <c r="Q1404" s="7"/>
    </row>
    <row r="1405">
      <c r="A1405" s="7">
        <v>1400.0</v>
      </c>
      <c r="B1405" s="7" t="s">
        <v>292</v>
      </c>
      <c r="C1405" s="7" t="str">
        <f>IFERROR(__xludf.DUMMYFUNCTION("GOOGLETRANSLATE($B1405, $A$2, $B$2)"),"1 day ago")</f>
        <v>1 day ago</v>
      </c>
      <c r="D1405" s="7" t="s">
        <v>2083</v>
      </c>
      <c r="E1405" s="7" t="s">
        <v>539</v>
      </c>
      <c r="F1405" s="7" t="s">
        <v>2003</v>
      </c>
      <c r="G1405" s="7" t="s">
        <v>260</v>
      </c>
      <c r="H1405" s="7" t="s">
        <v>261</v>
      </c>
      <c r="I1405" s="7" t="s">
        <v>261</v>
      </c>
      <c r="J1405" s="7" t="str">
        <f>IFERROR(__xludf.DUMMYFUNCTION("GOOGLETRANSLATE($I1405, ""de"", ""en"")"),"NO SALARY DATA")</f>
        <v>NO SALARY DATA</v>
      </c>
      <c r="K1405" s="7" t="s">
        <v>261</v>
      </c>
      <c r="L1405" s="7" t="s">
        <v>2084</v>
      </c>
      <c r="M1405" s="7" t="s">
        <v>263</v>
      </c>
      <c r="N1405" s="7" t="s">
        <v>275</v>
      </c>
      <c r="O1405" s="7"/>
      <c r="P1405" s="37"/>
      <c r="Q1405" s="7"/>
    </row>
    <row r="1406">
      <c r="A1406" s="7">
        <v>1401.0</v>
      </c>
      <c r="B1406" s="7" t="s">
        <v>265</v>
      </c>
      <c r="C1406" s="7" t="str">
        <f>IFERROR(__xludf.DUMMYFUNCTION("GOOGLETRANSLATE($B1406, $A$2, $B$2)"),"More than 30 days ago")</f>
        <v>More than 30 days ago</v>
      </c>
      <c r="D1406" s="7" t="s">
        <v>2399</v>
      </c>
      <c r="E1406" s="7" t="s">
        <v>258</v>
      </c>
      <c r="F1406" s="7" t="s">
        <v>260</v>
      </c>
      <c r="G1406" s="7" t="s">
        <v>260</v>
      </c>
      <c r="H1406" s="7" t="s">
        <v>261</v>
      </c>
      <c r="I1406" s="7" t="s">
        <v>261</v>
      </c>
      <c r="J1406" s="7" t="str">
        <f>IFERROR(__xludf.DUMMYFUNCTION("GOOGLETRANSLATE($I1406, ""de"", ""en"")"),"NO SALARY DATA")</f>
        <v>NO SALARY DATA</v>
      </c>
      <c r="K1406" s="7" t="s">
        <v>261</v>
      </c>
      <c r="L1406" s="7" t="s">
        <v>1179</v>
      </c>
      <c r="M1406" s="7" t="s">
        <v>673</v>
      </c>
      <c r="N1406" s="7" t="s">
        <v>260</v>
      </c>
      <c r="O1406" s="7"/>
      <c r="P1406" s="35"/>
      <c r="Q1406" s="7"/>
    </row>
    <row r="1407">
      <c r="A1407" s="7">
        <v>1402.0</v>
      </c>
      <c r="B1407" s="7" t="s">
        <v>265</v>
      </c>
      <c r="C1407" s="7" t="str">
        <f>IFERROR(__xludf.DUMMYFUNCTION("GOOGLETRANSLATE($B1407, $A$2, $B$2)"),"More than 30 days ago")</f>
        <v>More than 30 days ago</v>
      </c>
      <c r="D1407" s="7" t="s">
        <v>2400</v>
      </c>
      <c r="E1407" s="7" t="s">
        <v>271</v>
      </c>
      <c r="F1407" s="7" t="s">
        <v>2401</v>
      </c>
      <c r="G1407" s="7" t="s">
        <v>260</v>
      </c>
      <c r="H1407" s="7" t="s">
        <v>261</v>
      </c>
      <c r="I1407" s="7" t="s">
        <v>261</v>
      </c>
      <c r="J1407" s="7" t="str">
        <f>IFERROR(__xludf.DUMMYFUNCTION("GOOGLETRANSLATE($I1407, ""de"", ""en"")"),"NO SALARY DATA")</f>
        <v>NO SALARY DATA</v>
      </c>
      <c r="K1407" s="7" t="s">
        <v>261</v>
      </c>
      <c r="L1407" s="7" t="s">
        <v>531</v>
      </c>
      <c r="M1407" s="7" t="s">
        <v>263</v>
      </c>
      <c r="N1407" s="7" t="s">
        <v>323</v>
      </c>
      <c r="O1407" s="7"/>
      <c r="P1407" s="37"/>
      <c r="Q1407" s="7"/>
    </row>
    <row r="1408">
      <c r="A1408" s="7">
        <v>1403.0</v>
      </c>
      <c r="B1408" s="7" t="s">
        <v>637</v>
      </c>
      <c r="C1408" s="7" t="str">
        <f>IFERROR(__xludf.DUMMYFUNCTION("GOOGLETRANSLATE($B1408, $A$2, $B$2)"),"17 days ago")</f>
        <v>17 days ago</v>
      </c>
      <c r="D1408" s="7" t="s">
        <v>2323</v>
      </c>
      <c r="E1408" s="7" t="s">
        <v>539</v>
      </c>
      <c r="F1408" s="7" t="s">
        <v>260</v>
      </c>
      <c r="G1408" s="7" t="s">
        <v>260</v>
      </c>
      <c r="H1408" s="7" t="s">
        <v>261</v>
      </c>
      <c r="I1408" s="7" t="s">
        <v>261</v>
      </c>
      <c r="J1408" s="7" t="str">
        <f>IFERROR(__xludf.DUMMYFUNCTION("GOOGLETRANSLATE($I1408, ""de"", ""en"")"),"NO SALARY DATA")</f>
        <v>NO SALARY DATA</v>
      </c>
      <c r="K1408" s="7" t="s">
        <v>261</v>
      </c>
      <c r="L1408" s="7" t="s">
        <v>2402</v>
      </c>
      <c r="M1408" s="7" t="s">
        <v>263</v>
      </c>
      <c r="N1408" s="7" t="s">
        <v>260</v>
      </c>
      <c r="O1408" s="7"/>
      <c r="P1408" s="37"/>
      <c r="Q1408" s="7"/>
    </row>
    <row r="1409">
      <c r="A1409" s="7">
        <v>1404.0</v>
      </c>
      <c r="B1409" s="7" t="s">
        <v>637</v>
      </c>
      <c r="C1409" s="7" t="str">
        <f>IFERROR(__xludf.DUMMYFUNCTION("GOOGLETRANSLATE($B1409, $A$2, $B$2)"),"17 days ago")</f>
        <v>17 days ago</v>
      </c>
      <c r="D1409" s="7" t="s">
        <v>2323</v>
      </c>
      <c r="E1409" s="7" t="s">
        <v>539</v>
      </c>
      <c r="F1409" s="7" t="s">
        <v>260</v>
      </c>
      <c r="G1409" s="7" t="s">
        <v>260</v>
      </c>
      <c r="H1409" s="7" t="s">
        <v>261</v>
      </c>
      <c r="I1409" s="7" t="s">
        <v>261</v>
      </c>
      <c r="J1409" s="7" t="str">
        <f>IFERROR(__xludf.DUMMYFUNCTION("GOOGLETRANSLATE($I1409, ""de"", ""en"")"),"NO SALARY DATA")</f>
        <v>NO SALARY DATA</v>
      </c>
      <c r="K1409" s="7" t="s">
        <v>261</v>
      </c>
      <c r="L1409" s="7" t="s">
        <v>2324</v>
      </c>
      <c r="M1409" s="7" t="s">
        <v>263</v>
      </c>
      <c r="N1409" s="7" t="s">
        <v>260</v>
      </c>
      <c r="O1409" s="7"/>
      <c r="P1409" s="37"/>
      <c r="Q1409" s="7"/>
    </row>
    <row r="1410">
      <c r="A1410" s="7">
        <v>1405.0</v>
      </c>
      <c r="B1410" s="7" t="s">
        <v>705</v>
      </c>
      <c r="C1410" s="7" t="str">
        <f>IFERROR(__xludf.DUMMYFUNCTION("GOOGLETRANSLATE($B1410, $A$2, $B$2)"),"9 days ago")</f>
        <v>9 days ago</v>
      </c>
      <c r="D1410" s="7" t="s">
        <v>2403</v>
      </c>
      <c r="E1410" s="7" t="s">
        <v>271</v>
      </c>
      <c r="F1410" s="7" t="s">
        <v>2220</v>
      </c>
      <c r="G1410" s="7" t="s">
        <v>260</v>
      </c>
      <c r="H1410" s="7" t="s">
        <v>261</v>
      </c>
      <c r="I1410" s="7" t="s">
        <v>261</v>
      </c>
      <c r="J1410" s="7" t="str">
        <f>IFERROR(__xludf.DUMMYFUNCTION("GOOGLETRANSLATE($I1410, ""de"", ""en"")"),"NO SALARY DATA")</f>
        <v>NO SALARY DATA</v>
      </c>
      <c r="K1410" s="7" t="s">
        <v>261</v>
      </c>
      <c r="L1410" s="7" t="s">
        <v>562</v>
      </c>
      <c r="M1410" s="7" t="s">
        <v>263</v>
      </c>
      <c r="N1410" s="7" t="s">
        <v>260</v>
      </c>
      <c r="O1410" s="7"/>
      <c r="P1410" s="35"/>
      <c r="Q1410" s="7"/>
    </row>
    <row r="1411">
      <c r="A1411" s="7">
        <v>1406.0</v>
      </c>
      <c r="B1411" s="7" t="s">
        <v>265</v>
      </c>
      <c r="C1411" s="7" t="str">
        <f>IFERROR(__xludf.DUMMYFUNCTION("GOOGLETRANSLATE($B1411, $A$2, $B$2)"),"More than 30 days ago")</f>
        <v>More than 30 days ago</v>
      </c>
      <c r="D1411" s="7" t="s">
        <v>2404</v>
      </c>
      <c r="E1411" s="7" t="s">
        <v>280</v>
      </c>
      <c r="F1411" s="7" t="s">
        <v>2405</v>
      </c>
      <c r="G1411" s="7" t="s">
        <v>260</v>
      </c>
      <c r="H1411" s="7" t="s">
        <v>261</v>
      </c>
      <c r="I1411" s="7" t="s">
        <v>261</v>
      </c>
      <c r="J1411" s="7" t="str">
        <f>IFERROR(__xludf.DUMMYFUNCTION("GOOGLETRANSLATE($I1411, ""de"", ""en"")"),"NO SALARY DATA")</f>
        <v>NO SALARY DATA</v>
      </c>
      <c r="K1411" s="7" t="s">
        <v>261</v>
      </c>
      <c r="L1411" s="7" t="s">
        <v>2406</v>
      </c>
      <c r="M1411" s="7" t="s">
        <v>263</v>
      </c>
      <c r="N1411" s="7" t="s">
        <v>275</v>
      </c>
      <c r="O1411" s="7"/>
      <c r="P1411" s="37"/>
      <c r="Q1411" s="7"/>
    </row>
    <row r="1412">
      <c r="A1412" s="7">
        <v>1407.0</v>
      </c>
      <c r="B1412" s="7" t="s">
        <v>256</v>
      </c>
      <c r="C1412" s="7" t="str">
        <f>IFERROR(__xludf.DUMMYFUNCTION("GOOGLETRANSLATE($B1412, $A$2, $B$2)"),"7 days ago")</f>
        <v>7 days ago</v>
      </c>
      <c r="D1412" s="7" t="s">
        <v>2398</v>
      </c>
      <c r="E1412" s="7" t="s">
        <v>280</v>
      </c>
      <c r="F1412" s="7" t="s">
        <v>260</v>
      </c>
      <c r="G1412" s="7" t="s">
        <v>260</v>
      </c>
      <c r="H1412" s="7" t="s">
        <v>261</v>
      </c>
      <c r="I1412" s="7" t="s">
        <v>261</v>
      </c>
      <c r="J1412" s="7" t="str">
        <f>IFERROR(__xludf.DUMMYFUNCTION("GOOGLETRANSLATE($I1412, ""de"", ""en"")"),"NO SALARY DATA")</f>
        <v>NO SALARY DATA</v>
      </c>
      <c r="K1412" s="7" t="s">
        <v>261</v>
      </c>
      <c r="L1412" s="7" t="s">
        <v>1373</v>
      </c>
      <c r="M1412" s="7" t="s">
        <v>263</v>
      </c>
      <c r="N1412" s="7" t="s">
        <v>260</v>
      </c>
      <c r="O1412" s="7"/>
      <c r="P1412" s="37"/>
      <c r="Q1412" s="7"/>
    </row>
    <row r="1413">
      <c r="A1413" s="7">
        <v>1408.0</v>
      </c>
      <c r="B1413" s="7" t="s">
        <v>265</v>
      </c>
      <c r="C1413" s="7" t="str">
        <f>IFERROR(__xludf.DUMMYFUNCTION("GOOGLETRANSLATE($B1413, $A$2, $B$2)"),"More than 30 days ago")</f>
        <v>More than 30 days ago</v>
      </c>
      <c r="D1413" s="7" t="s">
        <v>2361</v>
      </c>
      <c r="E1413" s="7" t="s">
        <v>258</v>
      </c>
      <c r="F1413" s="7" t="s">
        <v>260</v>
      </c>
      <c r="G1413" s="7" t="s">
        <v>260</v>
      </c>
      <c r="H1413" s="7" t="s">
        <v>261</v>
      </c>
      <c r="I1413" s="7" t="s">
        <v>261</v>
      </c>
      <c r="J1413" s="7" t="str">
        <f>IFERROR(__xludf.DUMMYFUNCTION("GOOGLETRANSLATE($I1413, ""de"", ""en"")"),"NO SALARY DATA")</f>
        <v>NO SALARY DATA</v>
      </c>
      <c r="K1413" s="7" t="s">
        <v>261</v>
      </c>
      <c r="L1413" s="7" t="s">
        <v>345</v>
      </c>
      <c r="M1413" s="7" t="s">
        <v>673</v>
      </c>
      <c r="N1413" s="7" t="s">
        <v>260</v>
      </c>
      <c r="O1413" s="7"/>
      <c r="P1413" s="37"/>
      <c r="Q1413" s="7"/>
    </row>
    <row r="1414">
      <c r="A1414" s="7">
        <v>1409.0</v>
      </c>
      <c r="B1414" s="7" t="s">
        <v>265</v>
      </c>
      <c r="C1414" s="7" t="str">
        <f>IFERROR(__xludf.DUMMYFUNCTION("GOOGLETRANSLATE($B1414, $A$2, $B$2)"),"More than 30 days ago")</f>
        <v>More than 30 days ago</v>
      </c>
      <c r="D1414" s="7" t="s">
        <v>2244</v>
      </c>
      <c r="E1414" s="7" t="s">
        <v>2202</v>
      </c>
      <c r="F1414" s="7" t="s">
        <v>260</v>
      </c>
      <c r="G1414" s="7" t="s">
        <v>260</v>
      </c>
      <c r="H1414" s="7" t="s">
        <v>261</v>
      </c>
      <c r="I1414" s="7" t="s">
        <v>261</v>
      </c>
      <c r="J1414" s="7" t="str">
        <f>IFERROR(__xludf.DUMMYFUNCTION("GOOGLETRANSLATE($I1414, ""de"", ""en"")"),"NO SALARY DATA")</f>
        <v>NO SALARY DATA</v>
      </c>
      <c r="K1414" s="7" t="s">
        <v>261</v>
      </c>
      <c r="L1414" s="7" t="s">
        <v>423</v>
      </c>
      <c r="M1414" s="7" t="s">
        <v>263</v>
      </c>
      <c r="N1414" s="7" t="s">
        <v>260</v>
      </c>
      <c r="O1414" s="7"/>
      <c r="P1414" s="35"/>
      <c r="Q1414" s="7"/>
    </row>
    <row r="1415">
      <c r="A1415" s="7">
        <v>1410.0</v>
      </c>
      <c r="B1415" s="7" t="s">
        <v>265</v>
      </c>
      <c r="C1415" s="7" t="str">
        <f>IFERROR(__xludf.DUMMYFUNCTION("GOOGLETRANSLATE($B1415, $A$2, $B$2)"),"More than 30 days ago")</f>
        <v>More than 30 days ago</v>
      </c>
      <c r="D1415" s="7" t="s">
        <v>2404</v>
      </c>
      <c r="E1415" s="7" t="s">
        <v>271</v>
      </c>
      <c r="F1415" s="7" t="s">
        <v>2405</v>
      </c>
      <c r="G1415" s="7" t="s">
        <v>260</v>
      </c>
      <c r="H1415" s="7" t="s">
        <v>261</v>
      </c>
      <c r="I1415" s="7" t="s">
        <v>261</v>
      </c>
      <c r="J1415" s="7" t="str">
        <f>IFERROR(__xludf.DUMMYFUNCTION("GOOGLETRANSLATE($I1415, ""de"", ""en"")"),"NO SALARY DATA")</f>
        <v>NO SALARY DATA</v>
      </c>
      <c r="K1415" s="7" t="s">
        <v>261</v>
      </c>
      <c r="L1415" s="7" t="s">
        <v>2406</v>
      </c>
      <c r="M1415" s="7" t="s">
        <v>263</v>
      </c>
      <c r="N1415" s="7" t="s">
        <v>275</v>
      </c>
      <c r="O1415" s="7"/>
      <c r="P1415" s="37"/>
      <c r="Q1415" s="7"/>
    </row>
    <row r="1416">
      <c r="A1416" s="7">
        <v>1411.0</v>
      </c>
      <c r="B1416" s="7" t="s">
        <v>341</v>
      </c>
      <c r="C1416" s="7" t="str">
        <f>IFERROR(__xludf.DUMMYFUNCTION("GOOGLETRANSLATE($B1416, $A$2, $B$2)"),"before 14 days")</f>
        <v>before 14 days</v>
      </c>
      <c r="D1416" s="7" t="s">
        <v>2203</v>
      </c>
      <c r="E1416" s="7" t="s">
        <v>271</v>
      </c>
      <c r="F1416" s="7" t="s">
        <v>260</v>
      </c>
      <c r="G1416" s="7" t="s">
        <v>260</v>
      </c>
      <c r="H1416" s="7" t="s">
        <v>261</v>
      </c>
      <c r="I1416" s="7" t="s">
        <v>261</v>
      </c>
      <c r="J1416" s="7" t="str">
        <f>IFERROR(__xludf.DUMMYFUNCTION("GOOGLETRANSLATE($I1416, ""de"", ""en"")"),"NO SALARY DATA")</f>
        <v>NO SALARY DATA</v>
      </c>
      <c r="K1416" s="7" t="s">
        <v>261</v>
      </c>
      <c r="L1416" s="7" t="s">
        <v>782</v>
      </c>
      <c r="M1416" s="7" t="s">
        <v>263</v>
      </c>
      <c r="N1416" s="7" t="s">
        <v>260</v>
      </c>
      <c r="O1416" s="7"/>
      <c r="P1416" s="37"/>
      <c r="Q1416" s="7"/>
    </row>
    <row r="1417">
      <c r="A1417" s="7">
        <v>1412.0</v>
      </c>
      <c r="B1417" s="7" t="s">
        <v>265</v>
      </c>
      <c r="C1417" s="7" t="str">
        <f>IFERROR(__xludf.DUMMYFUNCTION("GOOGLETRANSLATE($B1417, $A$2, $B$2)"),"More than 30 days ago")</f>
        <v>More than 30 days ago</v>
      </c>
      <c r="D1417" s="7" t="s">
        <v>2201</v>
      </c>
      <c r="E1417" s="7" t="s">
        <v>2202</v>
      </c>
      <c r="F1417" s="7" t="s">
        <v>260</v>
      </c>
      <c r="G1417" s="7" t="s">
        <v>260</v>
      </c>
      <c r="H1417" s="7" t="s">
        <v>261</v>
      </c>
      <c r="I1417" s="7" t="s">
        <v>261</v>
      </c>
      <c r="J1417" s="7" t="str">
        <f>IFERROR(__xludf.DUMMYFUNCTION("GOOGLETRANSLATE($I1417, ""de"", ""en"")"),"NO SALARY DATA")</f>
        <v>NO SALARY DATA</v>
      </c>
      <c r="K1417" s="7" t="s">
        <v>261</v>
      </c>
      <c r="L1417" s="7" t="s">
        <v>777</v>
      </c>
      <c r="M1417" s="7" t="s">
        <v>263</v>
      </c>
      <c r="N1417" s="7" t="s">
        <v>260</v>
      </c>
      <c r="O1417" s="7"/>
      <c r="P1417" s="35"/>
      <c r="Q1417" s="7"/>
    </row>
    <row r="1418">
      <c r="A1418" s="7">
        <v>1413.0</v>
      </c>
      <c r="B1418" s="7" t="s">
        <v>265</v>
      </c>
      <c r="C1418" s="7" t="str">
        <f>IFERROR(__xludf.DUMMYFUNCTION("GOOGLETRANSLATE($B1418, $A$2, $B$2)"),"More than 30 days ago")</f>
        <v>More than 30 days ago</v>
      </c>
      <c r="D1418" s="7" t="s">
        <v>2404</v>
      </c>
      <c r="E1418" s="7" t="s">
        <v>271</v>
      </c>
      <c r="F1418" s="7" t="s">
        <v>2405</v>
      </c>
      <c r="G1418" s="7" t="s">
        <v>260</v>
      </c>
      <c r="H1418" s="7" t="s">
        <v>261</v>
      </c>
      <c r="I1418" s="7" t="s">
        <v>261</v>
      </c>
      <c r="J1418" s="7" t="str">
        <f>IFERROR(__xludf.DUMMYFUNCTION("GOOGLETRANSLATE($I1418, ""de"", ""en"")"),"NO SALARY DATA")</f>
        <v>NO SALARY DATA</v>
      </c>
      <c r="K1418" s="7" t="s">
        <v>261</v>
      </c>
      <c r="L1418" s="7" t="s">
        <v>2406</v>
      </c>
      <c r="M1418" s="7" t="s">
        <v>263</v>
      </c>
      <c r="N1418" s="7" t="s">
        <v>275</v>
      </c>
      <c r="O1418" s="7"/>
      <c r="P1418" s="37"/>
      <c r="Q1418" s="7"/>
    </row>
    <row r="1419">
      <c r="A1419" s="7">
        <v>1414.0</v>
      </c>
      <c r="B1419" s="7" t="s">
        <v>559</v>
      </c>
      <c r="C1419" s="7" t="str">
        <f>IFERROR(__xludf.DUMMYFUNCTION("GOOGLETRANSLATE($B1419, $A$2, $B$2)"),"18 days ago")</f>
        <v>18 days ago</v>
      </c>
      <c r="D1419" s="7" t="s">
        <v>2249</v>
      </c>
      <c r="E1419" s="7" t="s">
        <v>401</v>
      </c>
      <c r="F1419" s="7" t="s">
        <v>260</v>
      </c>
      <c r="G1419" s="7" t="s">
        <v>260</v>
      </c>
      <c r="H1419" s="7" t="s">
        <v>261</v>
      </c>
      <c r="I1419" s="7" t="s">
        <v>261</v>
      </c>
      <c r="J1419" s="7" t="str">
        <f>IFERROR(__xludf.DUMMYFUNCTION("GOOGLETRANSLATE($I1419, ""de"", ""en"")"),"NO SALARY DATA")</f>
        <v>NO SALARY DATA</v>
      </c>
      <c r="K1419" s="7" t="s">
        <v>261</v>
      </c>
      <c r="L1419" s="7"/>
      <c r="M1419" s="7" t="s">
        <v>263</v>
      </c>
      <c r="N1419" s="7" t="s">
        <v>260</v>
      </c>
      <c r="O1419" s="7"/>
      <c r="P1419" s="37"/>
      <c r="Q1419" s="7"/>
    </row>
    <row r="1420">
      <c r="A1420" s="7">
        <v>1415.0</v>
      </c>
      <c r="B1420" s="7" t="s">
        <v>469</v>
      </c>
      <c r="C1420" s="7" t="str">
        <f>IFERROR(__xludf.DUMMYFUNCTION("GOOGLETRANSLATE($B1420, $A$2, $B$2)"),"19 days ago")</f>
        <v>19 days ago</v>
      </c>
      <c r="D1420" s="7" t="s">
        <v>2293</v>
      </c>
      <c r="E1420" s="7" t="s">
        <v>1227</v>
      </c>
      <c r="F1420" s="7" t="s">
        <v>260</v>
      </c>
      <c r="G1420" s="7" t="s">
        <v>260</v>
      </c>
      <c r="H1420" s="7" t="s">
        <v>261</v>
      </c>
      <c r="I1420" s="7" t="s">
        <v>261</v>
      </c>
      <c r="J1420" s="7" t="str">
        <f>IFERROR(__xludf.DUMMYFUNCTION("GOOGLETRANSLATE($I1420, ""de"", ""en"")"),"NO SALARY DATA")</f>
        <v>NO SALARY DATA</v>
      </c>
      <c r="K1420" s="7" t="s">
        <v>261</v>
      </c>
      <c r="L1420" s="7"/>
      <c r="M1420" s="7" t="s">
        <v>263</v>
      </c>
      <c r="N1420" s="7" t="s">
        <v>260</v>
      </c>
      <c r="O1420" s="7"/>
      <c r="P1420" s="37"/>
      <c r="Q1420" s="7"/>
    </row>
    <row r="1421">
      <c r="A1421" s="7">
        <v>1416.0</v>
      </c>
      <c r="B1421" s="7" t="s">
        <v>265</v>
      </c>
      <c r="C1421" s="7" t="str">
        <f>IFERROR(__xludf.DUMMYFUNCTION("GOOGLETRANSLATE($B1421, $A$2, $B$2)"),"More than 30 days ago")</f>
        <v>More than 30 days ago</v>
      </c>
      <c r="D1421" s="7" t="s">
        <v>2360</v>
      </c>
      <c r="E1421" s="7" t="s">
        <v>258</v>
      </c>
      <c r="F1421" s="7" t="s">
        <v>260</v>
      </c>
      <c r="G1421" s="7" t="s">
        <v>260</v>
      </c>
      <c r="H1421" s="7" t="s">
        <v>261</v>
      </c>
      <c r="I1421" s="7" t="s">
        <v>261</v>
      </c>
      <c r="J1421" s="7" t="str">
        <f>IFERROR(__xludf.DUMMYFUNCTION("GOOGLETRANSLATE($I1421, ""de"", ""en"")"),"NO SALARY DATA")</f>
        <v>NO SALARY DATA</v>
      </c>
      <c r="K1421" s="7" t="s">
        <v>261</v>
      </c>
      <c r="L1421" s="7" t="s">
        <v>345</v>
      </c>
      <c r="M1421" s="7" t="s">
        <v>263</v>
      </c>
      <c r="N1421" s="7" t="s">
        <v>260</v>
      </c>
      <c r="O1421" s="7"/>
      <c r="P1421" s="37"/>
      <c r="Q1421" s="7"/>
    </row>
    <row r="1422">
      <c r="A1422" s="7">
        <v>1417.0</v>
      </c>
      <c r="B1422" s="7" t="s">
        <v>332</v>
      </c>
      <c r="C1422" s="7" t="str">
        <f>IFERROR(__xludf.DUMMYFUNCTION("GOOGLETRANSLATE($B1422, $A$2, $B$2)"),"4 days ago")</f>
        <v>4 days ago</v>
      </c>
      <c r="D1422" s="7" t="s">
        <v>2363</v>
      </c>
      <c r="E1422" s="7" t="s">
        <v>683</v>
      </c>
      <c r="F1422" s="7" t="s">
        <v>260</v>
      </c>
      <c r="G1422" s="7" t="s">
        <v>260</v>
      </c>
      <c r="H1422" s="7" t="s">
        <v>261</v>
      </c>
      <c r="I1422" s="7" t="s">
        <v>261</v>
      </c>
      <c r="J1422" s="7" t="str">
        <f>IFERROR(__xludf.DUMMYFUNCTION("GOOGLETRANSLATE($I1422, ""de"", ""en"")"),"NO SALARY DATA")</f>
        <v>NO SALARY DATA</v>
      </c>
      <c r="K1422" s="7" t="s">
        <v>261</v>
      </c>
      <c r="L1422" s="7" t="s">
        <v>1774</v>
      </c>
      <c r="M1422" s="7" t="s">
        <v>673</v>
      </c>
      <c r="N1422" s="7" t="s">
        <v>260</v>
      </c>
      <c r="O1422" s="7"/>
      <c r="P1422" s="37"/>
      <c r="Q1422" s="7"/>
    </row>
    <row r="1423">
      <c r="A1423" s="7">
        <v>1418.0</v>
      </c>
      <c r="B1423" s="7" t="s">
        <v>265</v>
      </c>
      <c r="C1423" s="7" t="str">
        <f>IFERROR(__xludf.DUMMYFUNCTION("GOOGLETRANSLATE($B1423, $A$2, $B$2)"),"More than 30 days ago")</f>
        <v>More than 30 days ago</v>
      </c>
      <c r="D1423" s="7" t="s">
        <v>2302</v>
      </c>
      <c r="E1423" s="7" t="s">
        <v>280</v>
      </c>
      <c r="F1423" s="7" t="s">
        <v>260</v>
      </c>
      <c r="G1423" s="7" t="s">
        <v>260</v>
      </c>
      <c r="H1423" s="7" t="s">
        <v>261</v>
      </c>
      <c r="I1423" s="7" t="s">
        <v>261</v>
      </c>
      <c r="J1423" s="7" t="str">
        <f>IFERROR(__xludf.DUMMYFUNCTION("GOOGLETRANSLATE($I1423, ""de"", ""en"")"),"NO SALARY DATA")</f>
        <v>NO SALARY DATA</v>
      </c>
      <c r="K1423" s="7" t="s">
        <v>261</v>
      </c>
      <c r="L1423" s="7"/>
      <c r="M1423" s="7" t="s">
        <v>263</v>
      </c>
      <c r="N1423" s="7" t="s">
        <v>260</v>
      </c>
      <c r="O1423" s="7"/>
      <c r="P1423" s="37"/>
      <c r="Q1423" s="7"/>
    </row>
    <row r="1424">
      <c r="A1424" s="7">
        <v>1419.0</v>
      </c>
      <c r="B1424" s="7" t="s">
        <v>469</v>
      </c>
      <c r="C1424" s="7" t="str">
        <f>IFERROR(__xludf.DUMMYFUNCTION("GOOGLETRANSLATE($B1424, $A$2, $B$2)"),"19 days ago")</f>
        <v>19 days ago</v>
      </c>
      <c r="D1424" s="7" t="s">
        <v>2407</v>
      </c>
      <c r="E1424" s="7" t="s">
        <v>343</v>
      </c>
      <c r="F1424" s="7" t="s">
        <v>2408</v>
      </c>
      <c r="G1424" s="7" t="s">
        <v>260</v>
      </c>
      <c r="H1424" s="7" t="s">
        <v>261</v>
      </c>
      <c r="I1424" s="7" t="s">
        <v>261</v>
      </c>
      <c r="J1424" s="7" t="str">
        <f>IFERROR(__xludf.DUMMYFUNCTION("GOOGLETRANSLATE($I1424, ""de"", ""en"")"),"NO SALARY DATA")</f>
        <v>NO SALARY DATA</v>
      </c>
      <c r="K1424" s="7" t="s">
        <v>261</v>
      </c>
      <c r="L1424" s="7" t="s">
        <v>711</v>
      </c>
      <c r="M1424" s="7" t="s">
        <v>673</v>
      </c>
      <c r="N1424" s="7" t="s">
        <v>260</v>
      </c>
      <c r="O1424" s="7"/>
      <c r="P1424" s="37"/>
      <c r="Q1424" s="7"/>
    </row>
    <row r="1425">
      <c r="A1425" s="7">
        <v>1420.0</v>
      </c>
      <c r="B1425" s="7" t="s">
        <v>324</v>
      </c>
      <c r="C1425" s="7" t="str">
        <f>IFERROR(__xludf.DUMMYFUNCTION("GOOGLETRANSLATE($B1425, $A$2, $B$2)"),"3 days ago")</f>
        <v>3 days ago</v>
      </c>
      <c r="D1425" s="7" t="s">
        <v>2374</v>
      </c>
      <c r="E1425" s="7" t="s">
        <v>2375</v>
      </c>
      <c r="F1425" s="7" t="s">
        <v>260</v>
      </c>
      <c r="G1425" s="7" t="s">
        <v>260</v>
      </c>
      <c r="H1425" s="7" t="s">
        <v>261</v>
      </c>
      <c r="I1425" s="7" t="s">
        <v>261</v>
      </c>
      <c r="J1425" s="7" t="str">
        <f>IFERROR(__xludf.DUMMYFUNCTION("GOOGLETRANSLATE($I1425, ""de"", ""en"")"),"NO SALARY DATA")</f>
        <v>NO SALARY DATA</v>
      </c>
      <c r="K1425" s="7" t="s">
        <v>261</v>
      </c>
      <c r="L1425" s="7" t="s">
        <v>1373</v>
      </c>
      <c r="M1425" s="7" t="s">
        <v>263</v>
      </c>
      <c r="N1425" s="7" t="s">
        <v>260</v>
      </c>
      <c r="O1425" s="7"/>
      <c r="P1425" s="37"/>
      <c r="Q1425" s="7"/>
    </row>
    <row r="1426">
      <c r="A1426" s="7">
        <v>1421.0</v>
      </c>
      <c r="B1426" s="7" t="s">
        <v>265</v>
      </c>
      <c r="C1426" s="7" t="str">
        <f>IFERROR(__xludf.DUMMYFUNCTION("GOOGLETRANSLATE($B1426, $A$2, $B$2)"),"More than 30 days ago")</f>
        <v>More than 30 days ago</v>
      </c>
      <c r="D1426" s="7" t="s">
        <v>2282</v>
      </c>
      <c r="E1426" s="7" t="s">
        <v>348</v>
      </c>
      <c r="F1426" s="7" t="s">
        <v>260</v>
      </c>
      <c r="G1426" s="7" t="s">
        <v>260</v>
      </c>
      <c r="H1426" s="7" t="s">
        <v>261</v>
      </c>
      <c r="I1426" s="7" t="s">
        <v>261</v>
      </c>
      <c r="J1426" s="7" t="str">
        <f>IFERROR(__xludf.DUMMYFUNCTION("GOOGLETRANSLATE($I1426, ""de"", ""en"")"),"NO SALARY DATA")</f>
        <v>NO SALARY DATA</v>
      </c>
      <c r="K1426" s="7" t="s">
        <v>261</v>
      </c>
      <c r="L1426" s="7"/>
      <c r="M1426" s="7" t="s">
        <v>263</v>
      </c>
      <c r="N1426" s="7" t="s">
        <v>260</v>
      </c>
      <c r="O1426" s="7"/>
      <c r="P1426" s="37"/>
      <c r="Q1426" s="7"/>
    </row>
    <row r="1427">
      <c r="A1427" s="7">
        <v>1422.0</v>
      </c>
      <c r="B1427" s="7" t="s">
        <v>302</v>
      </c>
      <c r="C1427" s="7" t="str">
        <f>IFERROR(__xludf.DUMMYFUNCTION("GOOGLETRANSLATE($B1427, $A$2, $B$2)"),"today")</f>
        <v>today</v>
      </c>
      <c r="D1427" s="7" t="s">
        <v>2251</v>
      </c>
      <c r="E1427" s="7" t="s">
        <v>683</v>
      </c>
      <c r="F1427" s="7" t="s">
        <v>260</v>
      </c>
      <c r="G1427" s="7" t="s">
        <v>260</v>
      </c>
      <c r="H1427" s="7" t="s">
        <v>261</v>
      </c>
      <c r="I1427" s="7" t="s">
        <v>261</v>
      </c>
      <c r="J1427" s="7" t="str">
        <f>IFERROR(__xludf.DUMMYFUNCTION("GOOGLETRANSLATE($I1427, ""de"", ""en"")"),"NO SALARY DATA")</f>
        <v>NO SALARY DATA</v>
      </c>
      <c r="K1427" s="7" t="s">
        <v>261</v>
      </c>
      <c r="L1427" s="7" t="s">
        <v>312</v>
      </c>
      <c r="M1427" s="7" t="s">
        <v>263</v>
      </c>
      <c r="N1427" s="7" t="s">
        <v>260</v>
      </c>
      <c r="O1427" s="7"/>
      <c r="P1427" s="37"/>
      <c r="Q1427" s="7"/>
    </row>
    <row r="1428">
      <c r="A1428" s="7">
        <v>1423.0</v>
      </c>
      <c r="B1428" s="7" t="s">
        <v>621</v>
      </c>
      <c r="C1428" s="7" t="str">
        <f>IFERROR(__xludf.DUMMYFUNCTION("GOOGLETRANSLATE($B1428, $A$2, $B$2)"),"20 days ago")</f>
        <v>20 days ago</v>
      </c>
      <c r="D1428" s="7" t="s">
        <v>2407</v>
      </c>
      <c r="E1428" s="7" t="s">
        <v>343</v>
      </c>
      <c r="F1428" s="7" t="s">
        <v>2408</v>
      </c>
      <c r="G1428" s="7" t="s">
        <v>260</v>
      </c>
      <c r="H1428" s="7" t="s">
        <v>261</v>
      </c>
      <c r="I1428" s="7" t="s">
        <v>261</v>
      </c>
      <c r="J1428" s="7" t="str">
        <f>IFERROR(__xludf.DUMMYFUNCTION("GOOGLETRANSLATE($I1428, ""de"", ""en"")"),"NO SALARY DATA")</f>
        <v>NO SALARY DATA</v>
      </c>
      <c r="K1428" s="7" t="s">
        <v>261</v>
      </c>
      <c r="L1428" s="7" t="s">
        <v>711</v>
      </c>
      <c r="M1428" s="7" t="s">
        <v>673</v>
      </c>
      <c r="N1428" s="7" t="s">
        <v>260</v>
      </c>
      <c r="O1428" s="7"/>
      <c r="P1428" s="37"/>
      <c r="Q1428" s="7"/>
    </row>
    <row r="1429">
      <c r="A1429" s="7">
        <v>1424.0</v>
      </c>
      <c r="B1429" s="7" t="s">
        <v>265</v>
      </c>
      <c r="C1429" s="7" t="str">
        <f>IFERROR(__xludf.DUMMYFUNCTION("GOOGLETRANSLATE($B1429, $A$2, $B$2)"),"More than 30 days ago")</f>
        <v>More than 30 days ago</v>
      </c>
      <c r="D1429" s="7" t="s">
        <v>2370</v>
      </c>
      <c r="E1429" s="7" t="s">
        <v>480</v>
      </c>
      <c r="F1429" s="7" t="s">
        <v>2371</v>
      </c>
      <c r="G1429" s="7" t="s">
        <v>260</v>
      </c>
      <c r="H1429" s="7" t="s">
        <v>261</v>
      </c>
      <c r="I1429" s="7" t="s">
        <v>261</v>
      </c>
      <c r="J1429" s="7" t="str">
        <f>IFERROR(__xludf.DUMMYFUNCTION("GOOGLETRANSLATE($I1429, ""de"", ""en"")"),"NO SALARY DATA")</f>
        <v>NO SALARY DATA</v>
      </c>
      <c r="K1429" s="7" t="s">
        <v>261</v>
      </c>
      <c r="L1429" s="7" t="s">
        <v>795</v>
      </c>
      <c r="M1429" s="7" t="s">
        <v>263</v>
      </c>
      <c r="N1429" s="7" t="s">
        <v>260</v>
      </c>
      <c r="O1429" s="7"/>
      <c r="P1429" s="37"/>
      <c r="Q1429" s="7"/>
    </row>
    <row r="1430">
      <c r="A1430" s="7">
        <v>1425.0</v>
      </c>
      <c r="B1430" s="7" t="s">
        <v>265</v>
      </c>
      <c r="C1430" s="7" t="str">
        <f>IFERROR(__xludf.DUMMYFUNCTION("GOOGLETRANSLATE($B1430, $A$2, $B$2)"),"More than 30 days ago")</f>
        <v>More than 30 days ago</v>
      </c>
      <c r="D1430" s="7" t="s">
        <v>2263</v>
      </c>
      <c r="E1430" s="7" t="s">
        <v>405</v>
      </c>
      <c r="F1430" s="7" t="s">
        <v>260</v>
      </c>
      <c r="G1430" s="7" t="s">
        <v>260</v>
      </c>
      <c r="H1430" s="7" t="s">
        <v>261</v>
      </c>
      <c r="I1430" s="7" t="s">
        <v>261</v>
      </c>
      <c r="J1430" s="7" t="str">
        <f>IFERROR(__xludf.DUMMYFUNCTION("GOOGLETRANSLATE($I1430, ""de"", ""en"")"),"NO SALARY DATA")</f>
        <v>NO SALARY DATA</v>
      </c>
      <c r="K1430" s="7" t="s">
        <v>261</v>
      </c>
      <c r="L1430" s="7" t="s">
        <v>423</v>
      </c>
      <c r="M1430" s="7" t="s">
        <v>263</v>
      </c>
      <c r="N1430" s="7" t="s">
        <v>260</v>
      </c>
      <c r="O1430" s="7"/>
      <c r="P1430" s="37"/>
      <c r="Q1430" s="7"/>
    </row>
    <row r="1431">
      <c r="A1431" s="7">
        <v>1426.0</v>
      </c>
      <c r="B1431" s="7" t="s">
        <v>302</v>
      </c>
      <c r="C1431" s="7" t="str">
        <f>IFERROR(__xludf.DUMMYFUNCTION("GOOGLETRANSLATE($B1431, $A$2, $B$2)"),"today")</f>
        <v>today</v>
      </c>
      <c r="D1431" s="7" t="s">
        <v>2279</v>
      </c>
      <c r="E1431" s="7" t="s">
        <v>401</v>
      </c>
      <c r="F1431" s="7" t="s">
        <v>260</v>
      </c>
      <c r="G1431" s="7" t="s">
        <v>260</v>
      </c>
      <c r="H1431" s="7" t="s">
        <v>261</v>
      </c>
      <c r="I1431" s="7" t="s">
        <v>261</v>
      </c>
      <c r="J1431" s="7" t="str">
        <f>IFERROR(__xludf.DUMMYFUNCTION("GOOGLETRANSLATE($I1431, ""de"", ""en"")"),"NO SALARY DATA")</f>
        <v>NO SALARY DATA</v>
      </c>
      <c r="K1431" s="7" t="s">
        <v>261</v>
      </c>
      <c r="L1431" s="7" t="s">
        <v>423</v>
      </c>
      <c r="M1431" s="7" t="s">
        <v>263</v>
      </c>
      <c r="N1431" s="7" t="s">
        <v>260</v>
      </c>
      <c r="O1431" s="7"/>
      <c r="P1431" s="37"/>
      <c r="Q1431" s="7"/>
    </row>
    <row r="1432">
      <c r="A1432" s="7">
        <v>1427.0</v>
      </c>
      <c r="B1432" s="7" t="s">
        <v>637</v>
      </c>
      <c r="C1432" s="7" t="str">
        <f>IFERROR(__xludf.DUMMYFUNCTION("GOOGLETRANSLATE($B1432, $A$2, $B$2)"),"17 days ago")</f>
        <v>17 days ago</v>
      </c>
      <c r="D1432" s="7" t="s">
        <v>2187</v>
      </c>
      <c r="E1432" s="7" t="s">
        <v>1084</v>
      </c>
      <c r="F1432" s="7" t="s">
        <v>260</v>
      </c>
      <c r="G1432" s="7" t="s">
        <v>260</v>
      </c>
      <c r="H1432" s="7" t="s">
        <v>261</v>
      </c>
      <c r="I1432" s="7" t="s">
        <v>261</v>
      </c>
      <c r="J1432" s="7" t="str">
        <f>IFERROR(__xludf.DUMMYFUNCTION("GOOGLETRANSLATE($I1432, ""de"", ""en"")"),"NO SALARY DATA")</f>
        <v>NO SALARY DATA</v>
      </c>
      <c r="K1432" s="7" t="s">
        <v>261</v>
      </c>
      <c r="L1432" s="7"/>
      <c r="M1432" s="7" t="s">
        <v>263</v>
      </c>
      <c r="N1432" s="7" t="s">
        <v>260</v>
      </c>
      <c r="O1432" s="7"/>
      <c r="P1432" s="37"/>
      <c r="Q1432" s="7"/>
    </row>
    <row r="1433">
      <c r="A1433" s="7">
        <v>1428.0</v>
      </c>
      <c r="B1433" s="7" t="s">
        <v>265</v>
      </c>
      <c r="C1433" s="7" t="str">
        <f>IFERROR(__xludf.DUMMYFUNCTION("GOOGLETRANSLATE($B1433, $A$2, $B$2)"),"More than 30 days ago")</f>
        <v>More than 30 days ago</v>
      </c>
      <c r="D1433" s="7" t="s">
        <v>2288</v>
      </c>
      <c r="E1433" s="7" t="s">
        <v>352</v>
      </c>
      <c r="F1433" s="7" t="s">
        <v>260</v>
      </c>
      <c r="G1433" s="7" t="s">
        <v>260</v>
      </c>
      <c r="H1433" s="7" t="s">
        <v>261</v>
      </c>
      <c r="I1433" s="7" t="s">
        <v>261</v>
      </c>
      <c r="J1433" s="7" t="str">
        <f>IFERROR(__xludf.DUMMYFUNCTION("GOOGLETRANSLATE($I1433, ""de"", ""en"")"),"NO SALARY DATA")</f>
        <v>NO SALARY DATA</v>
      </c>
      <c r="K1433" s="7" t="s">
        <v>261</v>
      </c>
      <c r="L1433" s="7" t="s">
        <v>1373</v>
      </c>
      <c r="M1433" s="7" t="s">
        <v>263</v>
      </c>
      <c r="N1433" s="7" t="s">
        <v>260</v>
      </c>
      <c r="O1433" s="7"/>
      <c r="P1433" s="37"/>
      <c r="Q1433" s="7"/>
    </row>
    <row r="1434">
      <c r="A1434" s="7">
        <v>1429.0</v>
      </c>
      <c r="B1434" s="7" t="s">
        <v>265</v>
      </c>
      <c r="C1434" s="7" t="str">
        <f>IFERROR(__xludf.DUMMYFUNCTION("GOOGLETRANSLATE($B1434, $A$2, $B$2)"),"More than 30 days ago")</f>
        <v>More than 30 days ago</v>
      </c>
      <c r="D1434" s="7" t="s">
        <v>2184</v>
      </c>
      <c r="E1434" s="7" t="s">
        <v>348</v>
      </c>
      <c r="F1434" s="7" t="s">
        <v>260</v>
      </c>
      <c r="G1434" s="7" t="s">
        <v>260</v>
      </c>
      <c r="H1434" s="7" t="s">
        <v>261</v>
      </c>
      <c r="I1434" s="7" t="s">
        <v>261</v>
      </c>
      <c r="J1434" s="7" t="str">
        <f>IFERROR(__xludf.DUMMYFUNCTION("GOOGLETRANSLATE($I1434, ""de"", ""en"")"),"NO SALARY DATA")</f>
        <v>NO SALARY DATA</v>
      </c>
      <c r="K1434" s="7" t="s">
        <v>261</v>
      </c>
      <c r="L1434" s="7" t="s">
        <v>423</v>
      </c>
      <c r="M1434" s="7" t="s">
        <v>263</v>
      </c>
      <c r="N1434" s="7" t="s">
        <v>260</v>
      </c>
      <c r="O1434" s="7"/>
      <c r="P1434" s="37"/>
      <c r="Q1434" s="7"/>
    </row>
    <row r="1435">
      <c r="A1435" s="7">
        <v>1430.0</v>
      </c>
      <c r="B1435" s="7" t="s">
        <v>621</v>
      </c>
      <c r="C1435" s="7" t="str">
        <f>IFERROR(__xludf.DUMMYFUNCTION("GOOGLETRANSLATE($B1435, $A$2, $B$2)"),"20 days ago")</f>
        <v>20 days ago</v>
      </c>
      <c r="D1435" s="7" t="s">
        <v>2407</v>
      </c>
      <c r="E1435" s="7" t="s">
        <v>343</v>
      </c>
      <c r="F1435" s="7" t="s">
        <v>2408</v>
      </c>
      <c r="G1435" s="7" t="s">
        <v>260</v>
      </c>
      <c r="H1435" s="7" t="s">
        <v>261</v>
      </c>
      <c r="I1435" s="7" t="s">
        <v>261</v>
      </c>
      <c r="J1435" s="7" t="str">
        <f>IFERROR(__xludf.DUMMYFUNCTION("GOOGLETRANSLATE($I1435, ""de"", ""en"")"),"NO SALARY DATA")</f>
        <v>NO SALARY DATA</v>
      </c>
      <c r="K1435" s="7" t="s">
        <v>261</v>
      </c>
      <c r="L1435" s="7" t="s">
        <v>711</v>
      </c>
      <c r="M1435" s="7" t="s">
        <v>673</v>
      </c>
      <c r="N1435" s="7" t="s">
        <v>260</v>
      </c>
      <c r="O1435" s="7"/>
      <c r="P1435" s="37"/>
      <c r="Q1435" s="7"/>
    </row>
    <row r="1436">
      <c r="A1436" s="7">
        <v>1431.0</v>
      </c>
      <c r="B1436" s="7" t="s">
        <v>637</v>
      </c>
      <c r="C1436" s="7" t="str">
        <f>IFERROR(__xludf.DUMMYFUNCTION("GOOGLETRANSLATE($B1436, $A$2, $B$2)"),"17 days ago")</f>
        <v>17 days ago</v>
      </c>
      <c r="D1436" s="7" t="s">
        <v>2409</v>
      </c>
      <c r="E1436" s="7" t="s">
        <v>401</v>
      </c>
      <c r="F1436" s="7" t="s">
        <v>260</v>
      </c>
      <c r="G1436" s="7" t="s">
        <v>260</v>
      </c>
      <c r="H1436" s="7" t="s">
        <v>261</v>
      </c>
      <c r="I1436" s="7" t="s">
        <v>261</v>
      </c>
      <c r="J1436" s="7" t="str">
        <f>IFERROR(__xludf.DUMMYFUNCTION("GOOGLETRANSLATE($I1436, ""de"", ""en"")"),"NO SALARY DATA")</f>
        <v>NO SALARY DATA</v>
      </c>
      <c r="K1436" s="7" t="s">
        <v>261</v>
      </c>
      <c r="L1436" s="7"/>
      <c r="M1436" s="7" t="s">
        <v>263</v>
      </c>
      <c r="N1436" s="7" t="s">
        <v>260</v>
      </c>
      <c r="O1436" s="7"/>
      <c r="P1436" s="37"/>
      <c r="Q1436" s="7"/>
    </row>
    <row r="1437">
      <c r="A1437" s="7">
        <v>1432.0</v>
      </c>
      <c r="B1437" s="7" t="s">
        <v>341</v>
      </c>
      <c r="C1437" s="7" t="str">
        <f>IFERROR(__xludf.DUMMYFUNCTION("GOOGLETRANSLATE($B1437, $A$2, $B$2)"),"before 14 days")</f>
        <v>before 14 days</v>
      </c>
      <c r="D1437" s="7" t="s">
        <v>2258</v>
      </c>
      <c r="E1437" s="7" t="s">
        <v>271</v>
      </c>
      <c r="F1437" s="7" t="s">
        <v>260</v>
      </c>
      <c r="G1437" s="7" t="s">
        <v>260</v>
      </c>
      <c r="H1437" s="7" t="s">
        <v>261</v>
      </c>
      <c r="I1437" s="7" t="s">
        <v>261</v>
      </c>
      <c r="J1437" s="7" t="str">
        <f>IFERROR(__xludf.DUMMYFUNCTION("GOOGLETRANSLATE($I1437, ""de"", ""en"")"),"NO SALARY DATA")</f>
        <v>NO SALARY DATA</v>
      </c>
      <c r="K1437" s="7" t="s">
        <v>261</v>
      </c>
      <c r="L1437" s="7" t="s">
        <v>2259</v>
      </c>
      <c r="M1437" s="7" t="s">
        <v>263</v>
      </c>
      <c r="N1437" s="7" t="s">
        <v>260</v>
      </c>
      <c r="O1437" s="7"/>
      <c r="P1437" s="37"/>
      <c r="Q1437" s="7"/>
    </row>
    <row r="1438">
      <c r="A1438" s="7">
        <v>1433.0</v>
      </c>
      <c r="B1438" s="7" t="s">
        <v>469</v>
      </c>
      <c r="C1438" s="7" t="str">
        <f>IFERROR(__xludf.DUMMYFUNCTION("GOOGLETRANSLATE($B1438, $A$2, $B$2)"),"19 days ago")</f>
        <v>19 days ago</v>
      </c>
      <c r="D1438" s="7" t="s">
        <v>2322</v>
      </c>
      <c r="E1438" s="7" t="s">
        <v>348</v>
      </c>
      <c r="F1438" s="7" t="s">
        <v>260</v>
      </c>
      <c r="G1438" s="7" t="s">
        <v>260</v>
      </c>
      <c r="H1438" s="7" t="s">
        <v>261</v>
      </c>
      <c r="I1438" s="7" t="s">
        <v>261</v>
      </c>
      <c r="J1438" s="7" t="str">
        <f>IFERROR(__xludf.DUMMYFUNCTION("GOOGLETRANSLATE($I1438, ""de"", ""en"")"),"NO SALARY DATA")</f>
        <v>NO SALARY DATA</v>
      </c>
      <c r="K1438" s="7" t="s">
        <v>261</v>
      </c>
      <c r="L1438" s="7"/>
      <c r="M1438" s="7" t="s">
        <v>263</v>
      </c>
      <c r="N1438" s="7" t="s">
        <v>260</v>
      </c>
      <c r="O1438" s="7"/>
      <c r="P1438" s="35"/>
      <c r="Q1438" s="7"/>
    </row>
    <row r="1439">
      <c r="A1439" s="7">
        <v>1434.0</v>
      </c>
      <c r="B1439" s="7" t="s">
        <v>265</v>
      </c>
      <c r="C1439" s="7" t="str">
        <f>IFERROR(__xludf.DUMMYFUNCTION("GOOGLETRANSLATE($B1439, $A$2, $B$2)"),"More than 30 days ago")</f>
        <v>More than 30 days ago</v>
      </c>
      <c r="D1439" s="7" t="s">
        <v>1427</v>
      </c>
      <c r="E1439" s="7" t="s">
        <v>993</v>
      </c>
      <c r="F1439" s="7" t="s">
        <v>2239</v>
      </c>
      <c r="G1439" s="7" t="s">
        <v>260</v>
      </c>
      <c r="H1439" s="7" t="s">
        <v>261</v>
      </c>
      <c r="I1439" s="7" t="s">
        <v>261</v>
      </c>
      <c r="J1439" s="7" t="str">
        <f>IFERROR(__xludf.DUMMYFUNCTION("GOOGLETRANSLATE($I1439, ""de"", ""en"")"),"NO SALARY DATA")</f>
        <v>NO SALARY DATA</v>
      </c>
      <c r="K1439" s="7" t="s">
        <v>261</v>
      </c>
      <c r="L1439" s="7" t="s">
        <v>908</v>
      </c>
      <c r="M1439" s="7" t="s">
        <v>263</v>
      </c>
      <c r="N1439" s="7" t="s">
        <v>473</v>
      </c>
      <c r="O1439" s="7"/>
      <c r="P1439" s="37"/>
      <c r="Q1439" s="7"/>
    </row>
    <row r="1440">
      <c r="A1440" s="7">
        <v>1435.0</v>
      </c>
      <c r="B1440" s="7" t="s">
        <v>637</v>
      </c>
      <c r="C1440" s="7" t="str">
        <f>IFERROR(__xludf.DUMMYFUNCTION("GOOGLETRANSLATE($B1440, $A$2, $B$2)"),"17 days ago")</f>
        <v>17 days ago</v>
      </c>
      <c r="D1440" s="7" t="s">
        <v>2410</v>
      </c>
      <c r="E1440" s="7" t="s">
        <v>539</v>
      </c>
      <c r="F1440" s="7" t="s">
        <v>260</v>
      </c>
      <c r="G1440" s="7" t="s">
        <v>260</v>
      </c>
      <c r="H1440" s="7" t="s">
        <v>261</v>
      </c>
      <c r="I1440" s="7" t="s">
        <v>261</v>
      </c>
      <c r="J1440" s="7" t="str">
        <f>IFERROR(__xludf.DUMMYFUNCTION("GOOGLETRANSLATE($I1440, ""de"", ""en"")"),"NO SALARY DATA")</f>
        <v>NO SALARY DATA</v>
      </c>
      <c r="K1440" s="7" t="s">
        <v>261</v>
      </c>
      <c r="L1440" s="7" t="s">
        <v>2411</v>
      </c>
      <c r="M1440" s="7" t="s">
        <v>263</v>
      </c>
      <c r="N1440" s="7" t="s">
        <v>260</v>
      </c>
      <c r="O1440" s="7"/>
      <c r="P1440" s="35"/>
      <c r="Q1440" s="7"/>
    </row>
    <row r="1441">
      <c r="A1441" s="7">
        <v>1436.0</v>
      </c>
      <c r="B1441" s="7" t="s">
        <v>265</v>
      </c>
      <c r="C1441" s="7" t="str">
        <f>IFERROR(__xludf.DUMMYFUNCTION("GOOGLETRANSLATE($B1441, $A$2, $B$2)"),"More than 30 days ago")</f>
        <v>More than 30 days ago</v>
      </c>
      <c r="D1441" s="7" t="s">
        <v>1427</v>
      </c>
      <c r="E1441" s="7" t="s">
        <v>401</v>
      </c>
      <c r="F1441" s="7" t="s">
        <v>2239</v>
      </c>
      <c r="G1441" s="7" t="s">
        <v>260</v>
      </c>
      <c r="H1441" s="7" t="s">
        <v>261</v>
      </c>
      <c r="I1441" s="7" t="s">
        <v>261</v>
      </c>
      <c r="J1441" s="7" t="str">
        <f>IFERROR(__xludf.DUMMYFUNCTION("GOOGLETRANSLATE($I1441, ""de"", ""en"")"),"NO SALARY DATA")</f>
        <v>NO SALARY DATA</v>
      </c>
      <c r="K1441" s="7" t="s">
        <v>261</v>
      </c>
      <c r="L1441" s="7" t="s">
        <v>908</v>
      </c>
      <c r="M1441" s="7" t="s">
        <v>263</v>
      </c>
      <c r="N1441" s="7" t="s">
        <v>473</v>
      </c>
      <c r="O1441" s="7"/>
      <c r="P1441" s="37"/>
      <c r="Q1441" s="7"/>
    </row>
    <row r="1442">
      <c r="A1442" s="7">
        <v>1437.0</v>
      </c>
      <c r="B1442" s="7" t="s">
        <v>621</v>
      </c>
      <c r="C1442" s="7" t="str">
        <f>IFERROR(__xludf.DUMMYFUNCTION("GOOGLETRANSLATE($B1442, $A$2, $B$2)"),"20 days ago")</f>
        <v>20 days ago</v>
      </c>
      <c r="D1442" s="7" t="s">
        <v>2185</v>
      </c>
      <c r="E1442" s="7" t="s">
        <v>343</v>
      </c>
      <c r="F1442" s="7" t="s">
        <v>2186</v>
      </c>
      <c r="G1442" s="7" t="s">
        <v>260</v>
      </c>
      <c r="H1442" s="7" t="s">
        <v>261</v>
      </c>
      <c r="I1442" s="7" t="s">
        <v>261</v>
      </c>
      <c r="J1442" s="7" t="str">
        <f>IFERROR(__xludf.DUMMYFUNCTION("GOOGLETRANSLATE($I1442, ""de"", ""en"")"),"NO SALARY DATA")</f>
        <v>NO SALARY DATA</v>
      </c>
      <c r="K1442" s="7" t="s">
        <v>261</v>
      </c>
      <c r="L1442" s="7" t="s">
        <v>1653</v>
      </c>
      <c r="M1442" s="7" t="s">
        <v>263</v>
      </c>
      <c r="N1442" s="7" t="s">
        <v>260</v>
      </c>
      <c r="O1442" s="7"/>
      <c r="P1442" s="37"/>
      <c r="Q1442" s="7"/>
    </row>
    <row r="1443">
      <c r="A1443" s="7">
        <v>1438.0</v>
      </c>
      <c r="B1443" s="7" t="s">
        <v>265</v>
      </c>
      <c r="C1443" s="7" t="str">
        <f>IFERROR(__xludf.DUMMYFUNCTION("GOOGLETRANSLATE($B1443, $A$2, $B$2)"),"More than 30 days ago")</f>
        <v>More than 30 days ago</v>
      </c>
      <c r="D1443" s="7" t="s">
        <v>2318</v>
      </c>
      <c r="E1443" s="7" t="s">
        <v>405</v>
      </c>
      <c r="F1443" s="7" t="s">
        <v>260</v>
      </c>
      <c r="G1443" s="7" t="s">
        <v>260</v>
      </c>
      <c r="H1443" s="7" t="s">
        <v>261</v>
      </c>
      <c r="I1443" s="7" t="s">
        <v>261</v>
      </c>
      <c r="J1443" s="7" t="str">
        <f>IFERROR(__xludf.DUMMYFUNCTION("GOOGLETRANSLATE($I1443, ""de"", ""en"")"),"NO SALARY DATA")</f>
        <v>NO SALARY DATA</v>
      </c>
      <c r="K1443" s="7" t="s">
        <v>261</v>
      </c>
      <c r="L1443" s="7"/>
      <c r="M1443" s="7" t="s">
        <v>263</v>
      </c>
      <c r="N1443" s="7" t="s">
        <v>260</v>
      </c>
      <c r="O1443" s="7"/>
      <c r="P1443" s="37"/>
      <c r="Q1443" s="7"/>
    </row>
    <row r="1444">
      <c r="A1444" s="7">
        <v>1439.0</v>
      </c>
      <c r="B1444" s="7" t="s">
        <v>621</v>
      </c>
      <c r="C1444" s="7" t="str">
        <f>IFERROR(__xludf.DUMMYFUNCTION("GOOGLETRANSLATE($B1444, $A$2, $B$2)"),"20 days ago")</f>
        <v>20 days ago</v>
      </c>
      <c r="D1444" s="7" t="s">
        <v>2197</v>
      </c>
      <c r="E1444" s="7" t="s">
        <v>343</v>
      </c>
      <c r="F1444" s="7" t="s">
        <v>2186</v>
      </c>
      <c r="G1444" s="7" t="s">
        <v>260</v>
      </c>
      <c r="H1444" s="7" t="s">
        <v>261</v>
      </c>
      <c r="I1444" s="7" t="s">
        <v>261</v>
      </c>
      <c r="J1444" s="7" t="str">
        <f>IFERROR(__xludf.DUMMYFUNCTION("GOOGLETRANSLATE($I1444, ""de"", ""en"")"),"NO SALARY DATA")</f>
        <v>NO SALARY DATA</v>
      </c>
      <c r="K1444" s="7" t="s">
        <v>261</v>
      </c>
      <c r="L1444" s="7" t="s">
        <v>1653</v>
      </c>
      <c r="M1444" s="7" t="s">
        <v>263</v>
      </c>
      <c r="N1444" s="7" t="s">
        <v>260</v>
      </c>
      <c r="O1444" s="7"/>
      <c r="P1444" s="37"/>
      <c r="Q1444" s="7"/>
    </row>
    <row r="1445">
      <c r="A1445" s="7">
        <v>1440.0</v>
      </c>
      <c r="B1445" s="7" t="s">
        <v>621</v>
      </c>
      <c r="C1445" s="7" t="str">
        <f>IFERROR(__xludf.DUMMYFUNCTION("GOOGLETRANSLATE($B1445, $A$2, $B$2)"),"20 days ago")</f>
        <v>20 days ago</v>
      </c>
      <c r="D1445" s="7" t="s">
        <v>2185</v>
      </c>
      <c r="E1445" s="7" t="s">
        <v>343</v>
      </c>
      <c r="F1445" s="7" t="s">
        <v>2186</v>
      </c>
      <c r="G1445" s="7" t="s">
        <v>260</v>
      </c>
      <c r="H1445" s="7" t="s">
        <v>261</v>
      </c>
      <c r="I1445" s="7" t="s">
        <v>261</v>
      </c>
      <c r="J1445" s="7" t="str">
        <f>IFERROR(__xludf.DUMMYFUNCTION("GOOGLETRANSLATE($I1445, ""de"", ""en"")"),"NO SALARY DATA")</f>
        <v>NO SALARY DATA</v>
      </c>
      <c r="K1445" s="7" t="s">
        <v>261</v>
      </c>
      <c r="L1445" s="7" t="s">
        <v>1653</v>
      </c>
      <c r="M1445" s="7" t="s">
        <v>263</v>
      </c>
      <c r="N1445" s="7" t="s">
        <v>260</v>
      </c>
      <c r="O1445" s="7"/>
      <c r="P1445" s="37"/>
      <c r="Q1445" s="7"/>
    </row>
    <row r="1446">
      <c r="A1446" s="7">
        <v>1441.0</v>
      </c>
      <c r="B1446" s="7" t="s">
        <v>508</v>
      </c>
      <c r="C1446" s="7" t="str">
        <f>IFERROR(__xludf.DUMMYFUNCTION("GOOGLETRANSLATE($B1446, $A$2, $B$2)"),"24 days ago")</f>
        <v>24 days ago</v>
      </c>
      <c r="D1446" s="7" t="s">
        <v>2264</v>
      </c>
      <c r="E1446" s="7" t="s">
        <v>343</v>
      </c>
      <c r="F1446" s="7" t="s">
        <v>2186</v>
      </c>
      <c r="G1446" s="7" t="s">
        <v>260</v>
      </c>
      <c r="H1446" s="7" t="s">
        <v>261</v>
      </c>
      <c r="I1446" s="7" t="s">
        <v>261</v>
      </c>
      <c r="J1446" s="7" t="str">
        <f>IFERROR(__xludf.DUMMYFUNCTION("GOOGLETRANSLATE($I1446, ""de"", ""en"")"),"NO SALARY DATA")</f>
        <v>NO SALARY DATA</v>
      </c>
      <c r="K1446" s="7" t="s">
        <v>261</v>
      </c>
      <c r="L1446" s="7" t="s">
        <v>1653</v>
      </c>
      <c r="M1446" s="7" t="s">
        <v>263</v>
      </c>
      <c r="N1446" s="7" t="s">
        <v>260</v>
      </c>
      <c r="O1446" s="7"/>
      <c r="P1446" s="37"/>
      <c r="Q1446" s="7"/>
    </row>
    <row r="1447">
      <c r="A1447" s="7">
        <v>1442.0</v>
      </c>
      <c r="B1447" s="7" t="s">
        <v>392</v>
      </c>
      <c r="C1447" s="7" t="str">
        <f>IFERROR(__xludf.DUMMYFUNCTION("GOOGLETRANSLATE($B1447, $A$2, $B$2)"),"10 days ago")</f>
        <v>10 days ago</v>
      </c>
      <c r="D1447" s="7" t="s">
        <v>2286</v>
      </c>
      <c r="E1447" s="7" t="s">
        <v>2287</v>
      </c>
      <c r="F1447" s="7" t="s">
        <v>260</v>
      </c>
      <c r="G1447" s="7" t="s">
        <v>260</v>
      </c>
      <c r="H1447" s="7" t="s">
        <v>261</v>
      </c>
      <c r="I1447" s="7" t="s">
        <v>261</v>
      </c>
      <c r="J1447" s="7" t="str">
        <f>IFERROR(__xludf.DUMMYFUNCTION("GOOGLETRANSLATE($I1447, ""de"", ""en"")"),"NO SALARY DATA")</f>
        <v>NO SALARY DATA</v>
      </c>
      <c r="K1447" s="7" t="s">
        <v>261</v>
      </c>
      <c r="L1447" s="7"/>
      <c r="M1447" s="7" t="s">
        <v>263</v>
      </c>
      <c r="N1447" s="7" t="s">
        <v>260</v>
      </c>
      <c r="O1447" s="7"/>
      <c r="P1447" s="37"/>
      <c r="Q1447" s="7"/>
    </row>
    <row r="1448">
      <c r="A1448" s="7">
        <v>1443.0</v>
      </c>
      <c r="B1448" s="7" t="s">
        <v>442</v>
      </c>
      <c r="C1448" s="7" t="str">
        <f>IFERROR(__xludf.DUMMYFUNCTION("GOOGLETRANSLATE($B1448, $A$2, $B$2)"),"26 days ago")</f>
        <v>26 days ago</v>
      </c>
      <c r="D1448" s="7" t="s">
        <v>2257</v>
      </c>
      <c r="E1448" s="7" t="s">
        <v>258</v>
      </c>
      <c r="F1448" s="7" t="s">
        <v>260</v>
      </c>
      <c r="G1448" s="7" t="s">
        <v>260</v>
      </c>
      <c r="H1448" s="7" t="s">
        <v>261</v>
      </c>
      <c r="I1448" s="7" t="s">
        <v>261</v>
      </c>
      <c r="J1448" s="7" t="str">
        <f>IFERROR(__xludf.DUMMYFUNCTION("GOOGLETRANSLATE($I1448, ""de"", ""en"")"),"NO SALARY DATA")</f>
        <v>NO SALARY DATA</v>
      </c>
      <c r="K1448" s="7" t="s">
        <v>261</v>
      </c>
      <c r="L1448" s="7"/>
      <c r="M1448" s="7" t="s">
        <v>263</v>
      </c>
      <c r="N1448" s="7" t="s">
        <v>260</v>
      </c>
      <c r="O1448" s="7"/>
      <c r="P1448" s="37"/>
      <c r="Q1448" s="7"/>
    </row>
    <row r="1449">
      <c r="A1449" s="7">
        <v>1444.0</v>
      </c>
      <c r="B1449" s="7" t="s">
        <v>265</v>
      </c>
      <c r="C1449" s="7" t="str">
        <f>IFERROR(__xludf.DUMMYFUNCTION("GOOGLETRANSLATE($B1449, $A$2, $B$2)"),"More than 30 days ago")</f>
        <v>More than 30 days ago</v>
      </c>
      <c r="D1449" s="7" t="s">
        <v>2214</v>
      </c>
      <c r="E1449" s="7" t="s">
        <v>480</v>
      </c>
      <c r="F1449" s="7" t="s">
        <v>260</v>
      </c>
      <c r="G1449" s="7" t="s">
        <v>260</v>
      </c>
      <c r="H1449" s="7" t="s">
        <v>261</v>
      </c>
      <c r="I1449" s="7" t="s">
        <v>261</v>
      </c>
      <c r="J1449" s="7" t="str">
        <f>IFERROR(__xludf.DUMMYFUNCTION("GOOGLETRANSLATE($I1449, ""de"", ""en"")"),"NO SALARY DATA")</f>
        <v>NO SALARY DATA</v>
      </c>
      <c r="K1449" s="7" t="s">
        <v>261</v>
      </c>
      <c r="L1449" s="7"/>
      <c r="M1449" s="7" t="s">
        <v>263</v>
      </c>
      <c r="N1449" s="7" t="s">
        <v>260</v>
      </c>
      <c r="O1449" s="7"/>
      <c r="P1449" s="37"/>
      <c r="Q1449" s="7"/>
    </row>
    <row r="1450">
      <c r="A1450" s="7">
        <v>1445.0</v>
      </c>
      <c r="B1450" s="7" t="s">
        <v>705</v>
      </c>
      <c r="C1450" s="7" t="str">
        <f>IFERROR(__xludf.DUMMYFUNCTION("GOOGLETRANSLATE($B1450, $A$2, $B$2)"),"9 days ago")</f>
        <v>9 days ago</v>
      </c>
      <c r="D1450" s="7" t="s">
        <v>2198</v>
      </c>
      <c r="E1450" s="7" t="s">
        <v>343</v>
      </c>
      <c r="F1450" s="7" t="s">
        <v>2199</v>
      </c>
      <c r="G1450" s="7" t="s">
        <v>260</v>
      </c>
      <c r="H1450" s="7" t="s">
        <v>261</v>
      </c>
      <c r="I1450" s="7" t="s">
        <v>261</v>
      </c>
      <c r="J1450" s="7" t="str">
        <f>IFERROR(__xludf.DUMMYFUNCTION("GOOGLETRANSLATE($I1450, ""de"", ""en"")"),"NO SALARY DATA")</f>
        <v>NO SALARY DATA</v>
      </c>
      <c r="K1450" s="7" t="s">
        <v>261</v>
      </c>
      <c r="L1450" s="7"/>
      <c r="M1450" s="7" t="s">
        <v>263</v>
      </c>
      <c r="N1450" s="7" t="s">
        <v>260</v>
      </c>
      <c r="O1450" s="7"/>
      <c r="P1450" s="35"/>
      <c r="Q1450" s="7"/>
    </row>
    <row r="1451">
      <c r="A1451" s="7">
        <v>1446.0</v>
      </c>
      <c r="B1451" s="7" t="s">
        <v>265</v>
      </c>
      <c r="C1451" s="7" t="str">
        <f>IFERROR(__xludf.DUMMYFUNCTION("GOOGLETRANSLATE($B1451, $A$2, $B$2)"),"More than 30 days ago")</f>
        <v>More than 30 days ago</v>
      </c>
      <c r="D1451" s="7" t="s">
        <v>2237</v>
      </c>
      <c r="E1451" s="7" t="s">
        <v>993</v>
      </c>
      <c r="F1451" s="7" t="s">
        <v>2239</v>
      </c>
      <c r="G1451" s="7" t="s">
        <v>260</v>
      </c>
      <c r="H1451" s="7" t="s">
        <v>261</v>
      </c>
      <c r="I1451" s="7" t="s">
        <v>261</v>
      </c>
      <c r="J1451" s="7" t="str">
        <f>IFERROR(__xludf.DUMMYFUNCTION("GOOGLETRANSLATE($I1451, ""de"", ""en"")"),"NO SALARY DATA")</f>
        <v>NO SALARY DATA</v>
      </c>
      <c r="K1451" s="7" t="s">
        <v>261</v>
      </c>
      <c r="L1451" s="7" t="s">
        <v>562</v>
      </c>
      <c r="M1451" s="7" t="s">
        <v>263</v>
      </c>
      <c r="N1451" s="7" t="s">
        <v>473</v>
      </c>
      <c r="O1451" s="7"/>
      <c r="P1451" s="37"/>
      <c r="Q1451" s="7"/>
    </row>
    <row r="1452">
      <c r="A1452" s="7">
        <v>1447.0</v>
      </c>
      <c r="B1452" s="7" t="s">
        <v>324</v>
      </c>
      <c r="C1452" s="7" t="str">
        <f>IFERROR(__xludf.DUMMYFUNCTION("GOOGLETRANSLATE($B1452, $A$2, $B$2)"),"3 days ago")</f>
        <v>3 days ago</v>
      </c>
      <c r="D1452" s="7" t="s">
        <v>2300</v>
      </c>
      <c r="E1452" s="7" t="s">
        <v>622</v>
      </c>
      <c r="F1452" s="7" t="s">
        <v>260</v>
      </c>
      <c r="G1452" s="7" t="s">
        <v>260</v>
      </c>
      <c r="H1452" s="7" t="s">
        <v>261</v>
      </c>
      <c r="I1452" s="7" t="s">
        <v>261</v>
      </c>
      <c r="J1452" s="7" t="str">
        <f>IFERROR(__xludf.DUMMYFUNCTION("GOOGLETRANSLATE($I1452, ""de"", ""en"")"),"NO SALARY DATA")</f>
        <v>NO SALARY DATA</v>
      </c>
      <c r="K1452" s="7" t="s">
        <v>261</v>
      </c>
      <c r="L1452" s="7" t="s">
        <v>423</v>
      </c>
      <c r="M1452" s="7" t="s">
        <v>263</v>
      </c>
      <c r="N1452" s="7" t="s">
        <v>260</v>
      </c>
      <c r="O1452" s="7"/>
      <c r="P1452" s="37"/>
      <c r="Q1452" s="7"/>
    </row>
    <row r="1453">
      <c r="A1453" s="7">
        <v>1448.0</v>
      </c>
      <c r="B1453" s="7" t="s">
        <v>265</v>
      </c>
      <c r="C1453" s="7" t="str">
        <f>IFERROR(__xludf.DUMMYFUNCTION("GOOGLETRANSLATE($B1453, $A$2, $B$2)"),"More than 30 days ago")</f>
        <v>More than 30 days ago</v>
      </c>
      <c r="D1453" s="7" t="s">
        <v>2270</v>
      </c>
      <c r="E1453" s="7" t="s">
        <v>280</v>
      </c>
      <c r="F1453" s="7" t="s">
        <v>260</v>
      </c>
      <c r="G1453" s="7" t="s">
        <v>260</v>
      </c>
      <c r="H1453" s="7" t="s">
        <v>261</v>
      </c>
      <c r="I1453" s="7" t="s">
        <v>261</v>
      </c>
      <c r="J1453" s="7" t="str">
        <f>IFERROR(__xludf.DUMMYFUNCTION("GOOGLETRANSLATE($I1453, ""de"", ""en"")"),"NO SALARY DATA")</f>
        <v>NO SALARY DATA</v>
      </c>
      <c r="K1453" s="7" t="s">
        <v>261</v>
      </c>
      <c r="L1453" s="7"/>
      <c r="M1453" s="7" t="s">
        <v>263</v>
      </c>
      <c r="N1453" s="7" t="s">
        <v>260</v>
      </c>
      <c r="O1453" s="7"/>
      <c r="P1453" s="37"/>
      <c r="Q1453" s="7"/>
    </row>
    <row r="1454">
      <c r="A1454" s="7">
        <v>1449.0</v>
      </c>
      <c r="B1454" s="7" t="s">
        <v>265</v>
      </c>
      <c r="C1454" s="7" t="str">
        <f>IFERROR(__xludf.DUMMYFUNCTION("GOOGLETRANSLATE($B1454, $A$2, $B$2)"),"More than 30 days ago")</f>
        <v>More than 30 days ago</v>
      </c>
      <c r="D1454" s="7" t="s">
        <v>2241</v>
      </c>
      <c r="E1454" s="7" t="s">
        <v>271</v>
      </c>
      <c r="F1454" s="7" t="s">
        <v>260</v>
      </c>
      <c r="G1454" s="7" t="s">
        <v>260</v>
      </c>
      <c r="H1454" s="7" t="s">
        <v>261</v>
      </c>
      <c r="I1454" s="7" t="s">
        <v>261</v>
      </c>
      <c r="J1454" s="7" t="str">
        <f>IFERROR(__xludf.DUMMYFUNCTION("GOOGLETRANSLATE($I1454, ""de"", ""en"")"),"NO SALARY DATA")</f>
        <v>NO SALARY DATA</v>
      </c>
      <c r="K1454" s="7" t="s">
        <v>261</v>
      </c>
      <c r="L1454" s="7" t="s">
        <v>345</v>
      </c>
      <c r="M1454" s="7" t="s">
        <v>263</v>
      </c>
      <c r="N1454" s="7" t="s">
        <v>260</v>
      </c>
      <c r="O1454" s="7"/>
      <c r="P1454" s="37"/>
      <c r="Q1454" s="7"/>
    </row>
    <row r="1455">
      <c r="A1455" s="7">
        <v>1450.0</v>
      </c>
      <c r="B1455" s="7" t="s">
        <v>392</v>
      </c>
      <c r="C1455" s="7" t="str">
        <f>IFERROR(__xludf.DUMMYFUNCTION("GOOGLETRANSLATE($B1455, $A$2, $B$2)"),"10 days ago")</f>
        <v>10 days ago</v>
      </c>
      <c r="D1455" s="7" t="s">
        <v>2213</v>
      </c>
      <c r="E1455" s="7" t="s">
        <v>258</v>
      </c>
      <c r="F1455" s="7" t="s">
        <v>260</v>
      </c>
      <c r="G1455" s="7" t="s">
        <v>260</v>
      </c>
      <c r="H1455" s="7" t="s">
        <v>261</v>
      </c>
      <c r="I1455" s="7" t="s">
        <v>261</v>
      </c>
      <c r="J1455" s="7" t="str">
        <f>IFERROR(__xludf.DUMMYFUNCTION("GOOGLETRANSLATE($I1455, ""de"", ""en"")"),"NO SALARY DATA")</f>
        <v>NO SALARY DATA</v>
      </c>
      <c r="K1455" s="7" t="s">
        <v>261</v>
      </c>
      <c r="L1455" s="7" t="s">
        <v>728</v>
      </c>
      <c r="M1455" s="7" t="s">
        <v>673</v>
      </c>
      <c r="N1455" s="7" t="s">
        <v>260</v>
      </c>
      <c r="O1455" s="7"/>
      <c r="P1455" s="35"/>
      <c r="Q1455" s="7"/>
    </row>
    <row r="1456">
      <c r="A1456" s="7">
        <v>1451.0</v>
      </c>
      <c r="B1456" s="7" t="s">
        <v>559</v>
      </c>
      <c r="C1456" s="7" t="str">
        <f>IFERROR(__xludf.DUMMYFUNCTION("GOOGLETRANSLATE($B1456, $A$2, $B$2)"),"18 days ago")</f>
        <v>18 days ago</v>
      </c>
      <c r="D1456" s="7" t="s">
        <v>2394</v>
      </c>
      <c r="E1456" s="7" t="s">
        <v>343</v>
      </c>
      <c r="F1456" s="7" t="s">
        <v>2395</v>
      </c>
      <c r="G1456" s="7" t="s">
        <v>260</v>
      </c>
      <c r="H1456" s="7" t="s">
        <v>261</v>
      </c>
      <c r="I1456" s="7" t="s">
        <v>261</v>
      </c>
      <c r="J1456" s="7" t="str">
        <f>IFERROR(__xludf.DUMMYFUNCTION("GOOGLETRANSLATE($I1456, ""de"", ""en"")"),"NO SALARY DATA")</f>
        <v>NO SALARY DATA</v>
      </c>
      <c r="K1456" s="7" t="s">
        <v>261</v>
      </c>
      <c r="L1456" s="7" t="s">
        <v>728</v>
      </c>
      <c r="M1456" s="7" t="s">
        <v>263</v>
      </c>
      <c r="N1456" s="7" t="s">
        <v>819</v>
      </c>
      <c r="O1456" s="7"/>
      <c r="P1456" s="37"/>
      <c r="Q1456" s="7"/>
    </row>
    <row r="1457">
      <c r="A1457" s="7">
        <v>1452.0</v>
      </c>
      <c r="B1457" s="7" t="s">
        <v>265</v>
      </c>
      <c r="C1457" s="7" t="str">
        <f>IFERROR(__xludf.DUMMYFUNCTION("GOOGLETRANSLATE($B1457, $A$2, $B$2)"),"More than 30 days ago")</f>
        <v>More than 30 days ago</v>
      </c>
      <c r="D1457" s="7" t="s">
        <v>2245</v>
      </c>
      <c r="E1457" s="7" t="s">
        <v>548</v>
      </c>
      <c r="F1457" s="7" t="s">
        <v>260</v>
      </c>
      <c r="G1457" s="7" t="s">
        <v>260</v>
      </c>
      <c r="H1457" s="7" t="s">
        <v>261</v>
      </c>
      <c r="I1457" s="7" t="s">
        <v>261</v>
      </c>
      <c r="J1457" s="7" t="str">
        <f>IFERROR(__xludf.DUMMYFUNCTION("GOOGLETRANSLATE($I1457, ""de"", ""en"")"),"NO SALARY DATA")</f>
        <v>NO SALARY DATA</v>
      </c>
      <c r="K1457" s="7" t="s">
        <v>261</v>
      </c>
      <c r="L1457" s="7" t="s">
        <v>286</v>
      </c>
      <c r="M1457" s="7" t="s">
        <v>263</v>
      </c>
      <c r="N1457" s="7" t="s">
        <v>260</v>
      </c>
      <c r="O1457" s="7"/>
      <c r="P1457" s="37"/>
      <c r="Q1457" s="7"/>
    </row>
    <row r="1458">
      <c r="A1458" s="7">
        <v>1453.0</v>
      </c>
      <c r="B1458" s="7" t="s">
        <v>324</v>
      </c>
      <c r="C1458" s="7" t="str">
        <f>IFERROR(__xludf.DUMMYFUNCTION("GOOGLETRANSLATE($B1458, $A$2, $B$2)"),"3 days ago")</f>
        <v>3 days ago</v>
      </c>
      <c r="D1458" s="7" t="s">
        <v>2412</v>
      </c>
      <c r="E1458" s="7" t="s">
        <v>417</v>
      </c>
      <c r="F1458" s="7" t="s">
        <v>260</v>
      </c>
      <c r="G1458" s="7" t="s">
        <v>260</v>
      </c>
      <c r="H1458" s="7" t="s">
        <v>261</v>
      </c>
      <c r="I1458" s="7" t="s">
        <v>261</v>
      </c>
      <c r="J1458" s="7" t="str">
        <f>IFERROR(__xludf.DUMMYFUNCTION("GOOGLETRANSLATE($I1458, ""de"", ""en"")"),"NO SALARY DATA")</f>
        <v>NO SALARY DATA</v>
      </c>
      <c r="K1458" s="7" t="s">
        <v>261</v>
      </c>
      <c r="L1458" s="7" t="s">
        <v>423</v>
      </c>
      <c r="M1458" s="7" t="s">
        <v>263</v>
      </c>
      <c r="N1458" s="7" t="s">
        <v>260</v>
      </c>
      <c r="O1458" s="7"/>
      <c r="P1458" s="37"/>
      <c r="Q1458" s="7"/>
    </row>
    <row r="1459">
      <c r="A1459" s="7">
        <v>1454.0</v>
      </c>
      <c r="B1459" s="7" t="s">
        <v>265</v>
      </c>
      <c r="C1459" s="7" t="str">
        <f>IFERROR(__xludf.DUMMYFUNCTION("GOOGLETRANSLATE($B1459, $A$2, $B$2)"),"More than 30 days ago")</f>
        <v>More than 30 days ago</v>
      </c>
      <c r="D1459" s="7" t="s">
        <v>2413</v>
      </c>
      <c r="E1459" s="7" t="s">
        <v>2414</v>
      </c>
      <c r="F1459" s="7" t="s">
        <v>260</v>
      </c>
      <c r="G1459" s="7" t="s">
        <v>260</v>
      </c>
      <c r="H1459" s="7" t="s">
        <v>261</v>
      </c>
      <c r="I1459" s="7" t="s">
        <v>261</v>
      </c>
      <c r="J1459" s="7" t="str">
        <f>IFERROR(__xludf.DUMMYFUNCTION("GOOGLETRANSLATE($I1459, ""de"", ""en"")"),"NO SALARY DATA")</f>
        <v>NO SALARY DATA</v>
      </c>
      <c r="K1459" s="7" t="s">
        <v>261</v>
      </c>
      <c r="L1459" s="7" t="s">
        <v>2415</v>
      </c>
      <c r="M1459" s="7" t="s">
        <v>263</v>
      </c>
      <c r="N1459" s="7" t="s">
        <v>260</v>
      </c>
      <c r="O1459" s="7"/>
      <c r="P1459" s="37"/>
      <c r="Q1459" s="7"/>
    </row>
    <row r="1460">
      <c r="A1460" s="7">
        <v>1455.0</v>
      </c>
      <c r="B1460" s="7" t="s">
        <v>269</v>
      </c>
      <c r="C1460" s="7" t="str">
        <f>IFERROR(__xludf.DUMMYFUNCTION("GOOGLETRANSLATE($B1460, $A$2, $B$2)"),"5 days ago")</f>
        <v>5 days ago</v>
      </c>
      <c r="D1460" s="7" t="s">
        <v>2416</v>
      </c>
      <c r="E1460" s="7" t="s">
        <v>352</v>
      </c>
      <c r="F1460" s="7" t="s">
        <v>260</v>
      </c>
      <c r="G1460" s="7" t="s">
        <v>260</v>
      </c>
      <c r="H1460" s="7" t="s">
        <v>261</v>
      </c>
      <c r="I1460" s="7" t="s">
        <v>261</v>
      </c>
      <c r="J1460" s="7" t="str">
        <f>IFERROR(__xludf.DUMMYFUNCTION("GOOGLETRANSLATE($I1460, ""de"", ""en"")"),"NO SALARY DATA")</f>
        <v>NO SALARY DATA</v>
      </c>
      <c r="K1460" s="7" t="s">
        <v>261</v>
      </c>
      <c r="L1460" s="7"/>
      <c r="M1460" s="7" t="s">
        <v>263</v>
      </c>
      <c r="N1460" s="7" t="s">
        <v>260</v>
      </c>
      <c r="O1460" s="7"/>
      <c r="P1460" s="37"/>
      <c r="Q1460" s="7"/>
    </row>
    <row r="1461">
      <c r="A1461" s="7">
        <v>1456.0</v>
      </c>
      <c r="B1461" s="7" t="s">
        <v>265</v>
      </c>
      <c r="C1461" s="7" t="str">
        <f>IFERROR(__xludf.DUMMYFUNCTION("GOOGLETRANSLATE($B1461, $A$2, $B$2)"),"More than 30 days ago")</f>
        <v>More than 30 days ago</v>
      </c>
      <c r="D1461" s="7" t="s">
        <v>2417</v>
      </c>
      <c r="E1461" s="7" t="s">
        <v>1241</v>
      </c>
      <c r="F1461" s="7" t="s">
        <v>260</v>
      </c>
      <c r="G1461" s="7" t="s">
        <v>260</v>
      </c>
      <c r="H1461" s="7" t="s">
        <v>261</v>
      </c>
      <c r="I1461" s="7" t="s">
        <v>261</v>
      </c>
      <c r="J1461" s="7" t="str">
        <f>IFERROR(__xludf.DUMMYFUNCTION("GOOGLETRANSLATE($I1461, ""de"", ""en"")"),"NO SALARY DATA")</f>
        <v>NO SALARY DATA</v>
      </c>
      <c r="K1461" s="7" t="s">
        <v>261</v>
      </c>
      <c r="L1461" s="7" t="s">
        <v>423</v>
      </c>
      <c r="M1461" s="7" t="s">
        <v>263</v>
      </c>
      <c r="N1461" s="7" t="s">
        <v>260</v>
      </c>
      <c r="O1461" s="7"/>
      <c r="P1461" s="37"/>
      <c r="Q1461" s="7"/>
    </row>
    <row r="1462">
      <c r="A1462" s="7">
        <v>1457.0</v>
      </c>
      <c r="B1462" s="7" t="s">
        <v>508</v>
      </c>
      <c r="C1462" s="7" t="str">
        <f>IFERROR(__xludf.DUMMYFUNCTION("GOOGLETRANSLATE($B1462, $A$2, $B$2)"),"24 days ago")</f>
        <v>24 days ago</v>
      </c>
      <c r="D1462" s="7" t="s">
        <v>2262</v>
      </c>
      <c r="E1462" s="7" t="s">
        <v>343</v>
      </c>
      <c r="F1462" s="7" t="s">
        <v>2186</v>
      </c>
      <c r="G1462" s="7" t="s">
        <v>260</v>
      </c>
      <c r="H1462" s="7" t="s">
        <v>261</v>
      </c>
      <c r="I1462" s="7" t="s">
        <v>261</v>
      </c>
      <c r="J1462" s="7" t="str">
        <f>IFERROR(__xludf.DUMMYFUNCTION("GOOGLETRANSLATE($I1462, ""de"", ""en"")"),"NO SALARY DATA")</f>
        <v>NO SALARY DATA</v>
      </c>
      <c r="K1462" s="7" t="s">
        <v>261</v>
      </c>
      <c r="L1462" s="7" t="s">
        <v>1653</v>
      </c>
      <c r="M1462" s="7" t="s">
        <v>263</v>
      </c>
      <c r="N1462" s="7" t="s">
        <v>260</v>
      </c>
      <c r="O1462" s="7"/>
      <c r="P1462" s="37"/>
      <c r="Q1462" s="7"/>
    </row>
    <row r="1463">
      <c r="A1463" s="7">
        <v>1458.0</v>
      </c>
      <c r="B1463" s="7" t="s">
        <v>265</v>
      </c>
      <c r="C1463" s="7" t="str">
        <f>IFERROR(__xludf.DUMMYFUNCTION("GOOGLETRANSLATE($B1463, $A$2, $B$2)"),"More than 30 days ago")</f>
        <v>More than 30 days ago</v>
      </c>
      <c r="D1463" s="7" t="s">
        <v>2418</v>
      </c>
      <c r="E1463" s="7" t="s">
        <v>271</v>
      </c>
      <c r="F1463" s="7" t="s">
        <v>2220</v>
      </c>
      <c r="G1463" s="7" t="s">
        <v>260</v>
      </c>
      <c r="H1463" s="7" t="s">
        <v>261</v>
      </c>
      <c r="I1463" s="7" t="s">
        <v>261</v>
      </c>
      <c r="J1463" s="7" t="str">
        <f>IFERROR(__xludf.DUMMYFUNCTION("GOOGLETRANSLATE($I1463, ""de"", ""en"")"),"NO SALARY DATA")</f>
        <v>NO SALARY DATA</v>
      </c>
      <c r="K1463" s="7" t="s">
        <v>261</v>
      </c>
      <c r="L1463" s="7" t="s">
        <v>2419</v>
      </c>
      <c r="M1463" s="7" t="s">
        <v>263</v>
      </c>
      <c r="N1463" s="7" t="s">
        <v>260</v>
      </c>
      <c r="O1463" s="7"/>
      <c r="P1463" s="37"/>
      <c r="Q1463" s="7"/>
    </row>
    <row r="1464">
      <c r="A1464" s="7">
        <v>1459.0</v>
      </c>
      <c r="B1464" s="7" t="s">
        <v>302</v>
      </c>
      <c r="C1464" s="7" t="str">
        <f>IFERROR(__xludf.DUMMYFUNCTION("GOOGLETRANSLATE($B1464, $A$2, $B$2)"),"today")</f>
        <v>today</v>
      </c>
      <c r="D1464" s="7" t="s">
        <v>2314</v>
      </c>
      <c r="E1464" s="7" t="s">
        <v>348</v>
      </c>
      <c r="F1464" s="7" t="s">
        <v>260</v>
      </c>
      <c r="G1464" s="7" t="s">
        <v>260</v>
      </c>
      <c r="H1464" s="7" t="s">
        <v>261</v>
      </c>
      <c r="I1464" s="7" t="s">
        <v>261</v>
      </c>
      <c r="J1464" s="7" t="str">
        <f>IFERROR(__xludf.DUMMYFUNCTION("GOOGLETRANSLATE($I1464, ""de"", ""en"")"),"NO SALARY DATA")</f>
        <v>NO SALARY DATA</v>
      </c>
      <c r="K1464" s="7" t="s">
        <v>261</v>
      </c>
      <c r="L1464" s="7" t="s">
        <v>694</v>
      </c>
      <c r="M1464" s="7" t="s">
        <v>263</v>
      </c>
      <c r="N1464" s="7" t="s">
        <v>260</v>
      </c>
      <c r="O1464" s="7"/>
      <c r="P1464" s="37"/>
      <c r="Q1464" s="7"/>
    </row>
    <row r="1465">
      <c r="A1465" s="7">
        <v>1460.0</v>
      </c>
      <c r="B1465" s="7" t="s">
        <v>269</v>
      </c>
      <c r="C1465" s="7" t="str">
        <f>IFERROR(__xludf.DUMMYFUNCTION("GOOGLETRANSLATE($B1465, $A$2, $B$2)"),"5 days ago")</f>
        <v>5 days ago</v>
      </c>
      <c r="D1465" s="7" t="s">
        <v>2233</v>
      </c>
      <c r="E1465" s="7" t="s">
        <v>343</v>
      </c>
      <c r="F1465" s="7" t="s">
        <v>2234</v>
      </c>
      <c r="G1465" s="7" t="s">
        <v>260</v>
      </c>
      <c r="H1465" s="7" t="s">
        <v>261</v>
      </c>
      <c r="I1465" s="7" t="s">
        <v>261</v>
      </c>
      <c r="J1465" s="7" t="str">
        <f>IFERROR(__xludf.DUMMYFUNCTION("GOOGLETRANSLATE($I1465, ""de"", ""en"")"),"NO SALARY DATA")</f>
        <v>NO SALARY DATA</v>
      </c>
      <c r="K1465" s="7" t="s">
        <v>261</v>
      </c>
      <c r="L1465" s="7" t="s">
        <v>1179</v>
      </c>
      <c r="M1465" s="7" t="s">
        <v>263</v>
      </c>
      <c r="N1465" s="7" t="s">
        <v>260</v>
      </c>
      <c r="O1465" s="7"/>
      <c r="P1465" s="37"/>
      <c r="Q1465" s="7"/>
    </row>
    <row r="1466">
      <c r="A1466" s="7">
        <v>1461.0</v>
      </c>
      <c r="B1466" s="7" t="s">
        <v>508</v>
      </c>
      <c r="C1466" s="7" t="str">
        <f>IFERROR(__xludf.DUMMYFUNCTION("GOOGLETRANSLATE($B1466, $A$2, $B$2)"),"24 days ago")</f>
        <v>24 days ago</v>
      </c>
      <c r="D1466" s="7" t="s">
        <v>2368</v>
      </c>
      <c r="E1466" s="7" t="s">
        <v>343</v>
      </c>
      <c r="F1466" s="7" t="s">
        <v>2186</v>
      </c>
      <c r="G1466" s="7" t="s">
        <v>260</v>
      </c>
      <c r="H1466" s="7" t="s">
        <v>261</v>
      </c>
      <c r="I1466" s="7" t="s">
        <v>261</v>
      </c>
      <c r="J1466" s="7" t="str">
        <f>IFERROR(__xludf.DUMMYFUNCTION("GOOGLETRANSLATE($I1466, ""de"", ""en"")"),"NO SALARY DATA")</f>
        <v>NO SALARY DATA</v>
      </c>
      <c r="K1466" s="7" t="s">
        <v>261</v>
      </c>
      <c r="L1466" s="7" t="s">
        <v>1653</v>
      </c>
      <c r="M1466" s="7" t="s">
        <v>263</v>
      </c>
      <c r="N1466" s="7" t="s">
        <v>260</v>
      </c>
      <c r="O1466" s="7"/>
      <c r="P1466" s="37"/>
      <c r="Q1466" s="7"/>
    </row>
    <row r="1467">
      <c r="A1467" s="7">
        <v>1462.0</v>
      </c>
      <c r="B1467" s="7" t="s">
        <v>292</v>
      </c>
      <c r="C1467" s="7" t="str">
        <f>IFERROR(__xludf.DUMMYFUNCTION("GOOGLETRANSLATE($B1467, $A$2, $B$2)"),"1 day ago")</f>
        <v>1 day ago</v>
      </c>
      <c r="D1467" s="7" t="s">
        <v>2272</v>
      </c>
      <c r="E1467" s="7" t="s">
        <v>343</v>
      </c>
      <c r="F1467" s="7" t="s">
        <v>2273</v>
      </c>
      <c r="G1467" s="7" t="s">
        <v>260</v>
      </c>
      <c r="H1467" s="7" t="s">
        <v>261</v>
      </c>
      <c r="I1467" s="7" t="s">
        <v>261</v>
      </c>
      <c r="J1467" s="7" t="str">
        <f>IFERROR(__xludf.DUMMYFUNCTION("GOOGLETRANSLATE($I1467, ""de"", ""en"")"),"NO SALARY DATA")</f>
        <v>NO SALARY DATA</v>
      </c>
      <c r="K1467" s="7" t="s">
        <v>261</v>
      </c>
      <c r="L1467" s="7" t="s">
        <v>777</v>
      </c>
      <c r="M1467" s="7" t="s">
        <v>673</v>
      </c>
      <c r="N1467" s="7" t="s">
        <v>260</v>
      </c>
      <c r="O1467" s="7"/>
      <c r="P1467" s="37"/>
      <c r="Q1467" s="7"/>
    </row>
    <row r="1468">
      <c r="A1468" s="7">
        <v>1463.0</v>
      </c>
      <c r="B1468" s="7" t="s">
        <v>375</v>
      </c>
      <c r="C1468" s="7" t="str">
        <f>IFERROR(__xludf.DUMMYFUNCTION("GOOGLETRANSLATE($B1468, $A$2, $B$2)"),"6 days ago")</f>
        <v>6 days ago</v>
      </c>
      <c r="D1468" s="7" t="s">
        <v>2420</v>
      </c>
      <c r="E1468" s="7" t="s">
        <v>343</v>
      </c>
      <c r="F1468" s="7" t="s">
        <v>2421</v>
      </c>
      <c r="G1468" s="7" t="s">
        <v>260</v>
      </c>
      <c r="H1468" s="7" t="s">
        <v>261</v>
      </c>
      <c r="I1468" s="7" t="s">
        <v>261</v>
      </c>
      <c r="J1468" s="7" t="str">
        <f>IFERROR(__xludf.DUMMYFUNCTION("GOOGLETRANSLATE($I1468, ""de"", ""en"")"),"NO SALARY DATA")</f>
        <v>NO SALARY DATA</v>
      </c>
      <c r="K1468" s="7" t="s">
        <v>261</v>
      </c>
      <c r="L1468" s="7"/>
      <c r="M1468" s="7" t="s">
        <v>452</v>
      </c>
      <c r="N1468" s="7" t="s">
        <v>260</v>
      </c>
      <c r="O1468" s="7"/>
      <c r="P1468" s="37"/>
      <c r="Q1468" s="7"/>
    </row>
    <row r="1469">
      <c r="A1469" s="7">
        <v>1464.0</v>
      </c>
      <c r="B1469" s="7" t="s">
        <v>341</v>
      </c>
      <c r="C1469" s="7" t="str">
        <f>IFERROR(__xludf.DUMMYFUNCTION("GOOGLETRANSLATE($B1469, $A$2, $B$2)"),"before 14 days")</f>
        <v>before 14 days</v>
      </c>
      <c r="D1469" s="7" t="s">
        <v>2008</v>
      </c>
      <c r="E1469" s="7" t="s">
        <v>258</v>
      </c>
      <c r="F1469" s="7" t="s">
        <v>2009</v>
      </c>
      <c r="G1469" s="7" t="s">
        <v>260</v>
      </c>
      <c r="H1469" s="7" t="s">
        <v>261</v>
      </c>
      <c r="I1469" s="7" t="s">
        <v>261</v>
      </c>
      <c r="J1469" s="7" t="str">
        <f>IFERROR(__xludf.DUMMYFUNCTION("GOOGLETRANSLATE($I1469, ""de"", ""en"")"),"NO SALARY DATA")</f>
        <v>NO SALARY DATA</v>
      </c>
      <c r="K1469" s="7" t="s">
        <v>261</v>
      </c>
      <c r="L1469" s="7" t="s">
        <v>282</v>
      </c>
      <c r="M1469" s="7" t="s">
        <v>673</v>
      </c>
      <c r="N1469" s="7" t="s">
        <v>260</v>
      </c>
      <c r="O1469" s="7"/>
      <c r="P1469" s="37"/>
      <c r="Q1469" s="7"/>
    </row>
    <row r="1470">
      <c r="A1470" s="7">
        <v>1465.0</v>
      </c>
      <c r="B1470" s="7" t="s">
        <v>508</v>
      </c>
      <c r="C1470" s="7" t="str">
        <f>IFERROR(__xludf.DUMMYFUNCTION("GOOGLETRANSLATE($B1470, $A$2, $B$2)"),"24 days ago")</f>
        <v>24 days ago</v>
      </c>
      <c r="D1470" s="7" t="s">
        <v>2224</v>
      </c>
      <c r="E1470" s="7" t="s">
        <v>343</v>
      </c>
      <c r="F1470" s="7" t="s">
        <v>2186</v>
      </c>
      <c r="G1470" s="7" t="s">
        <v>260</v>
      </c>
      <c r="H1470" s="7" t="s">
        <v>261</v>
      </c>
      <c r="I1470" s="7" t="s">
        <v>261</v>
      </c>
      <c r="J1470" s="7" t="str">
        <f>IFERROR(__xludf.DUMMYFUNCTION("GOOGLETRANSLATE($I1470, ""de"", ""en"")"),"NO SALARY DATA")</f>
        <v>NO SALARY DATA</v>
      </c>
      <c r="K1470" s="7" t="s">
        <v>261</v>
      </c>
      <c r="L1470" s="7" t="s">
        <v>1653</v>
      </c>
      <c r="M1470" s="7" t="s">
        <v>263</v>
      </c>
      <c r="N1470" s="7" t="s">
        <v>260</v>
      </c>
      <c r="O1470" s="7"/>
      <c r="P1470" s="37"/>
      <c r="Q1470" s="7"/>
    </row>
    <row r="1471">
      <c r="A1471" s="7">
        <v>1466.0</v>
      </c>
      <c r="B1471" s="7" t="s">
        <v>637</v>
      </c>
      <c r="C1471" s="7" t="str">
        <f>IFERROR(__xludf.DUMMYFUNCTION("GOOGLETRANSLATE($B1471, $A$2, $B$2)"),"17 days ago")</f>
        <v>17 days ago</v>
      </c>
      <c r="D1471" s="7" t="s">
        <v>2294</v>
      </c>
      <c r="E1471" s="7" t="s">
        <v>343</v>
      </c>
      <c r="F1471" s="7" t="s">
        <v>2274</v>
      </c>
      <c r="G1471" s="7" t="s">
        <v>870</v>
      </c>
      <c r="H1471" s="7">
        <v>60000.0</v>
      </c>
      <c r="I1471" s="7" t="s">
        <v>384</v>
      </c>
      <c r="J1471" s="7" t="str">
        <f>IFERROR(__xludf.DUMMYFUNCTION("GOOGLETRANSLATE($I1471, ""de"", ""en"")"),"year")</f>
        <v>year</v>
      </c>
      <c r="K1471" s="7">
        <v>60000.0</v>
      </c>
      <c r="L1471" s="7" t="s">
        <v>777</v>
      </c>
      <c r="M1471" s="7" t="s">
        <v>673</v>
      </c>
      <c r="N1471" s="7" t="s">
        <v>260</v>
      </c>
      <c r="O1471" s="7"/>
      <c r="P1471" s="37"/>
      <c r="Q1471" s="7"/>
    </row>
    <row r="1472">
      <c r="A1472" s="7">
        <v>1467.0</v>
      </c>
      <c r="B1472" s="7" t="s">
        <v>508</v>
      </c>
      <c r="C1472" s="7" t="str">
        <f>IFERROR(__xludf.DUMMYFUNCTION("GOOGLETRANSLATE($B1472, $A$2, $B$2)"),"24 days ago")</f>
        <v>24 days ago</v>
      </c>
      <c r="D1472" s="7" t="s">
        <v>2216</v>
      </c>
      <c r="E1472" s="7" t="s">
        <v>343</v>
      </c>
      <c r="F1472" s="7" t="s">
        <v>2186</v>
      </c>
      <c r="G1472" s="7" t="s">
        <v>260</v>
      </c>
      <c r="H1472" s="7" t="s">
        <v>261</v>
      </c>
      <c r="I1472" s="7" t="s">
        <v>261</v>
      </c>
      <c r="J1472" s="7" t="str">
        <f>IFERROR(__xludf.DUMMYFUNCTION("GOOGLETRANSLATE($I1472, ""de"", ""en"")"),"NO SALARY DATA")</f>
        <v>NO SALARY DATA</v>
      </c>
      <c r="K1472" s="7" t="s">
        <v>261</v>
      </c>
      <c r="L1472" s="7" t="s">
        <v>1653</v>
      </c>
      <c r="M1472" s="7" t="s">
        <v>263</v>
      </c>
      <c r="N1472" s="7" t="s">
        <v>260</v>
      </c>
      <c r="O1472" s="7"/>
      <c r="P1472" s="37"/>
      <c r="Q1472" s="7"/>
    </row>
    <row r="1473">
      <c r="A1473" s="7">
        <v>1468.0</v>
      </c>
      <c r="B1473" s="7" t="s">
        <v>650</v>
      </c>
      <c r="C1473" s="7" t="str">
        <f>IFERROR(__xludf.DUMMYFUNCTION("GOOGLETRANSLATE($B1473, $A$2, $B$2)"),"16 days ago")</f>
        <v>16 days ago</v>
      </c>
      <c r="D1473" s="7" t="s">
        <v>2422</v>
      </c>
      <c r="E1473" s="7" t="s">
        <v>343</v>
      </c>
      <c r="F1473" s="7" t="s">
        <v>2423</v>
      </c>
      <c r="G1473" s="7" t="s">
        <v>260</v>
      </c>
      <c r="H1473" s="7" t="s">
        <v>261</v>
      </c>
      <c r="I1473" s="7" t="s">
        <v>261</v>
      </c>
      <c r="J1473" s="7" t="str">
        <f>IFERROR(__xludf.DUMMYFUNCTION("GOOGLETRANSLATE($I1473, ""de"", ""en"")"),"NO SALARY DATA")</f>
        <v>NO SALARY DATA</v>
      </c>
      <c r="K1473" s="7" t="s">
        <v>261</v>
      </c>
      <c r="L1473" s="7"/>
      <c r="M1473" s="7" t="s">
        <v>673</v>
      </c>
      <c r="N1473" s="7" t="s">
        <v>260</v>
      </c>
      <c r="O1473" s="7"/>
      <c r="P1473" s="37"/>
      <c r="Q1473" s="7"/>
    </row>
    <row r="1474">
      <c r="A1474" s="7">
        <v>1469.0</v>
      </c>
      <c r="B1474" s="7" t="s">
        <v>332</v>
      </c>
      <c r="C1474" s="7" t="str">
        <f>IFERROR(__xludf.DUMMYFUNCTION("GOOGLETRANSLATE($B1474, $A$2, $B$2)"),"4 days ago")</f>
        <v>4 days ago</v>
      </c>
      <c r="D1474" s="7" t="s">
        <v>2424</v>
      </c>
      <c r="E1474" s="7" t="s">
        <v>343</v>
      </c>
      <c r="F1474" s="7" t="s">
        <v>2421</v>
      </c>
      <c r="G1474" s="7" t="s">
        <v>260</v>
      </c>
      <c r="H1474" s="7" t="s">
        <v>261</v>
      </c>
      <c r="I1474" s="7" t="s">
        <v>261</v>
      </c>
      <c r="J1474" s="7" t="str">
        <f>IFERROR(__xludf.DUMMYFUNCTION("GOOGLETRANSLATE($I1474, ""de"", ""en"")"),"NO SALARY DATA")</f>
        <v>NO SALARY DATA</v>
      </c>
      <c r="K1474" s="7" t="s">
        <v>261</v>
      </c>
      <c r="L1474" s="7"/>
      <c r="M1474" s="7" t="s">
        <v>452</v>
      </c>
      <c r="N1474" s="7" t="s">
        <v>260</v>
      </c>
      <c r="O1474" s="7"/>
      <c r="P1474" s="37"/>
      <c r="Q1474" s="7"/>
    </row>
  </sheetData>
  <dataValidations>
    <dataValidation type="list" allowBlank="1" showErrorMessage="1" sqref="A2:B2">
      <formula1>language_codes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14"/>
  </cols>
  <sheetData>
    <row r="1">
      <c r="A1" s="39" t="s">
        <v>243</v>
      </c>
      <c r="B1" s="38" t="s">
        <v>244</v>
      </c>
      <c r="C1" s="38" t="s">
        <v>245</v>
      </c>
      <c r="D1" s="7" t="s">
        <v>246</v>
      </c>
      <c r="E1" s="7" t="s">
        <v>247</v>
      </c>
      <c r="F1" s="7" t="s">
        <v>210</v>
      </c>
      <c r="G1" s="7" t="s">
        <v>248</v>
      </c>
      <c r="H1" s="7" t="s">
        <v>249</v>
      </c>
      <c r="I1" s="38" t="s">
        <v>250</v>
      </c>
      <c r="J1" s="38" t="s">
        <v>251</v>
      </c>
      <c r="K1" s="7" t="s">
        <v>252</v>
      </c>
      <c r="L1" s="7" t="s">
        <v>253</v>
      </c>
      <c r="M1" s="7" t="s">
        <v>254</v>
      </c>
      <c r="N1" s="7" t="s">
        <v>255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0" t="str">
        <f>IFERROR(__xludf.DUMMYFUNCTION("QUERY(job_list, ""SELECT C, D, E, F, J, K, L, M, N WHERE (L LIKE '%Excel%' OR L LIKE '%Google Sheets%') AND N &lt;&gt; 'None' LABEL K 'Salary'"", 1)"),"Date")</f>
        <v>Date</v>
      </c>
      <c r="B4" s="10" t="str">
        <f>IFERROR(__xludf.DUMMYFUNCTION("""COMPUTED_VALUE"""),"Title")</f>
        <v>Title</v>
      </c>
      <c r="C4" s="7" t="str">
        <f>IFERROR(__xludf.DUMMYFUNCTION("""COMPUTED_VALUE"""),"Location")</f>
        <v>Location</v>
      </c>
      <c r="D4" s="7" t="str">
        <f>IFERROR(__xludf.DUMMYFUNCTION("""COMPUTED_VALUE"""),"Company")</f>
        <v>Company</v>
      </c>
      <c r="E4" s="7" t="str">
        <f>IFERROR(__xludf.DUMMYFUNCTION("""COMPUTED_VALUE"""),"Salary Type")</f>
        <v>Salary Type</v>
      </c>
      <c r="F4" s="7" t="str">
        <f>IFERROR(__xludf.DUMMYFUNCTION("""COMPUTED_VALUE"""),"Salary")</f>
        <v>Salary</v>
      </c>
      <c r="G4" s="7" t="str">
        <f>IFERROR(__xludf.DUMMYFUNCTION("""COMPUTED_VALUE"""),"Skills")</f>
        <v>Skills</v>
      </c>
      <c r="H4" s="7" t="str">
        <f>IFERROR(__xludf.DUMMYFUNCTION("""COMPUTED_VALUE"""),"Job Type")</f>
        <v>Job Type</v>
      </c>
      <c r="I4" s="7" t="str">
        <f>IFERROR(__xludf.DUMMYFUNCTION("""COMPUTED_VALUE"""),"Rating")</f>
        <v>Rating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9" t="str">
        <f>IFERROR(__xludf.DUMMYFUNCTION("""COMPUTED_VALUE"""),"1 day ago")</f>
        <v>1 day ago</v>
      </c>
      <c r="B5" s="7" t="str">
        <f>IFERROR(__xludf.DUMMYFUNCTION("""COMPUTED_VALUE"""),"Data Scientist (m|f|d) Membrane Technologies")</f>
        <v>Data Scientist (m|f|d) Membrane Technologies</v>
      </c>
      <c r="C5" s="7" t="str">
        <f>IFERROR(__xludf.DUMMYFUNCTION("""COMPUTED_VALUE"""),"Göttingen")</f>
        <v>Göttingen</v>
      </c>
      <c r="D5" s="7" t="str">
        <f>IFERROR(__xludf.DUMMYFUNCTION("""COMPUTED_VALUE"""),"Sartorius Stedim Biotech")</f>
        <v>Sartorius Stedim Biotech</v>
      </c>
      <c r="E5" s="7" t="str">
        <f>IFERROR(__xludf.DUMMYFUNCTION("""COMPUTED_VALUE"""),"NO SALARY DATA")</f>
        <v>NO SALARY DATA</v>
      </c>
      <c r="F5" s="7" t="str">
        <f>IFERROR(__xludf.DUMMYFUNCTION("""COMPUTED_VALUE"""),"No salary data")</f>
        <v>No salary data</v>
      </c>
      <c r="G5" s="7" t="str">
        <f>IFERROR(__xludf.DUMMYFUNCTION("""COMPUTED_VALUE"""),"Python, SQL, Excel, Machine Learning, Agile")</f>
        <v>Python, SQL, Excel, Machine Learning, Agile</v>
      </c>
      <c r="H5" s="7" t="str">
        <f>IFERROR(__xludf.DUMMYFUNCTION("""COMPUTED_VALUE"""),"No job type data")</f>
        <v>No job type data</v>
      </c>
      <c r="I5" s="7" t="str">
        <f>IFERROR(__xludf.DUMMYFUNCTION("""COMPUTED_VALUE"""),"3,7")</f>
        <v>3,7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tr">
        <f>IFERROR(__xludf.DUMMYFUNCTION("""COMPUTED_VALUE"""),"4 days ago")</f>
        <v>4 days ago</v>
      </c>
      <c r="B6" s="7" t="str">
        <f>IFERROR(__xludf.DUMMYFUNCTION("""COMPUTED_VALUE"""),"International Data Analyst (m|f|x)")</f>
        <v>International Data Analyst (m|f|x)</v>
      </c>
      <c r="C6" s="7" t="str">
        <f>IFERROR(__xludf.DUMMYFUNCTION("""COMPUTED_VALUE"""),"Berlin")</f>
        <v>Berlin</v>
      </c>
      <c r="D6" s="7" t="str">
        <f>IFERROR(__xludf.DUMMYFUNCTION("""COMPUTED_VALUE"""),"idealo internet GmbH")</f>
        <v>idealo internet GmbH</v>
      </c>
      <c r="E6" s="7" t="str">
        <f>IFERROR(__xludf.DUMMYFUNCTION("""COMPUTED_VALUE"""),"NO SALARY DATA")</f>
        <v>NO SALARY DATA</v>
      </c>
      <c r="F6" s="7" t="str">
        <f>IFERROR(__xludf.DUMMYFUNCTION("""COMPUTED_VALUE"""),"No salary data")</f>
        <v>No salary data</v>
      </c>
      <c r="G6" s="7" t="str">
        <f>IFERROR(__xludf.DUMMYFUNCTION("""COMPUTED_VALUE"""),"Python, SQL, Tableau, Excel, Statistic, Agile")</f>
        <v>Python, SQL, Tableau, Excel, Statistic, Agile</v>
      </c>
      <c r="H6" s="7" t="str">
        <f>IFERROR(__xludf.DUMMYFUNCTION("""COMPUTED_VALUE"""),"Full-Time")</f>
        <v>Full-Time</v>
      </c>
      <c r="I6" s="7" t="str">
        <f>IFERROR(__xludf.DUMMYFUNCTION("""COMPUTED_VALUE"""),"4,3")</f>
        <v>4,3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9" t="str">
        <f>IFERROR(__xludf.DUMMYFUNCTION("""COMPUTED_VALUE"""),"today")</f>
        <v>today</v>
      </c>
      <c r="B7" s="7" t="str">
        <f>IFERROR(__xludf.DUMMYFUNCTION("""COMPUTED_VALUE"""),"Junior Data Analyst - HelloFreshGO (m/f/x)")</f>
        <v>Junior Data Analyst - HelloFreshGO (m/f/x)</v>
      </c>
      <c r="C7" s="7" t="str">
        <f>IFERROR(__xludf.DUMMYFUNCTION("""COMPUTED_VALUE"""),"Berlin")</f>
        <v>Berlin</v>
      </c>
      <c r="D7" s="7" t="str">
        <f>IFERROR(__xludf.DUMMYFUNCTION("""COMPUTED_VALUE"""),"HelloFresh")</f>
        <v>HelloFresh</v>
      </c>
      <c r="E7" s="7" t="str">
        <f>IFERROR(__xludf.DUMMYFUNCTION("""COMPUTED_VALUE"""),"NO SALARY DATA")</f>
        <v>NO SALARY DATA</v>
      </c>
      <c r="F7" s="7" t="str">
        <f>IFERROR(__xludf.DUMMYFUNCTION("""COMPUTED_VALUE"""),"No salary data")</f>
        <v>No salary data</v>
      </c>
      <c r="G7" s="7" t="str">
        <f>IFERROR(__xludf.DUMMYFUNCTION("""COMPUTED_VALUE"""),"Python, SQL, Tableau, Excel, Statistic")</f>
        <v>Python, SQL, Tableau, Excel, Statistic</v>
      </c>
      <c r="H7" s="7" t="str">
        <f>IFERROR(__xludf.DUMMYFUNCTION("""COMPUTED_VALUE"""),"No job type data")</f>
        <v>No job type data</v>
      </c>
      <c r="I7" s="7" t="str">
        <f>IFERROR(__xludf.DUMMYFUNCTION("""COMPUTED_VALUE"""),"3,2")</f>
        <v>3,2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tr">
        <f>IFERROR(__xludf.DUMMYFUNCTION("""COMPUTED_VALUE"""),"6 days ago")</f>
        <v>6 days ago</v>
      </c>
      <c r="B8" s="7" t="str">
        <f>IFERROR(__xludf.DUMMYFUNCTION("""COMPUTED_VALUE"""),"Student Job: Data Analysis for Process Modeling (f/m/div)*")</f>
        <v>Student Job: Data Analysis for Process Modeling (f/m/div)*</v>
      </c>
      <c r="C8" s="7" t="str">
        <f>IFERROR(__xludf.DUMMYFUNCTION("""COMPUTED_VALUE"""),"Regensburg")</f>
        <v>Regensburg</v>
      </c>
      <c r="D8" s="7" t="str">
        <f>IFERROR(__xludf.DUMMYFUNCTION("""COMPUTED_VALUE"""),"Infineon Technologies")</f>
        <v>Infineon Technologies</v>
      </c>
      <c r="E8" s="7" t="str">
        <f>IFERROR(__xludf.DUMMYFUNCTION("""COMPUTED_VALUE"""),"NO SALARY DATA")</f>
        <v>NO SALARY DATA</v>
      </c>
      <c r="F8" s="7" t="str">
        <f>IFERROR(__xludf.DUMMYFUNCTION("""COMPUTED_VALUE"""),"No salary data")</f>
        <v>No salary data</v>
      </c>
      <c r="G8" s="7" t="str">
        <f>IFERROR(__xludf.DUMMYFUNCTION("""COMPUTED_VALUE"""),"Python, Excel, Machine Learning")</f>
        <v>Python, Excel, Machine Learning</v>
      </c>
      <c r="H8" s="7" t="str">
        <f>IFERROR(__xludf.DUMMYFUNCTION("""COMPUTED_VALUE"""),"No job type data")</f>
        <v>No job type data</v>
      </c>
      <c r="I8" s="7" t="str">
        <f>IFERROR(__xludf.DUMMYFUNCTION("""COMPUTED_VALUE"""),"4,0")</f>
        <v>4,0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tr">
        <f>IFERROR(__xludf.DUMMYFUNCTION("""COMPUTED_VALUE"""),"21 days ago")</f>
        <v>21 days ago</v>
      </c>
      <c r="B9" s="7" t="str">
        <f>IFERROR(__xludf.DUMMYFUNCTION("""COMPUTED_VALUE"""),"Full-time opportunities for students &amp; recent graduates: Bus...")</f>
        <v>Full-time opportunities for students &amp; recent graduates: Bus...</v>
      </c>
      <c r="C9" s="7" t="str">
        <f>IFERROR(__xludf.DUMMYFUNCTION("""COMPUTED_VALUE"""),"München")</f>
        <v>München</v>
      </c>
      <c r="D9" s="7" t="str">
        <f>IFERROR(__xludf.DUMMYFUNCTION("""COMPUTED_VALUE"""),"Microsoft")</f>
        <v>Microsoft</v>
      </c>
      <c r="E9" s="7" t="str">
        <f>IFERROR(__xludf.DUMMYFUNCTION("""COMPUTED_VALUE"""),"NO SALARY DATA")</f>
        <v>NO SALARY DATA</v>
      </c>
      <c r="F9" s="7" t="str">
        <f>IFERROR(__xludf.DUMMYFUNCTION("""COMPUTED_VALUE"""),"No salary data")</f>
        <v>No salary data</v>
      </c>
      <c r="G9" s="7" t="str">
        <f>IFERROR(__xludf.DUMMYFUNCTION("""COMPUTED_VALUE"""),"Excel, Git")</f>
        <v>Excel, Git</v>
      </c>
      <c r="H9" s="7" t="str">
        <f>IFERROR(__xludf.DUMMYFUNCTION("""COMPUTED_VALUE"""),"No job type data")</f>
        <v>No job type data</v>
      </c>
      <c r="I9" s="7" t="str">
        <f>IFERROR(__xludf.DUMMYFUNCTION("""COMPUTED_VALUE"""),"4,2")</f>
        <v>4,2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tr">
        <f>IFERROR(__xludf.DUMMYFUNCTION("""COMPUTED_VALUE"""),"10 days ago")</f>
        <v>10 days ago</v>
      </c>
      <c r="B10" s="7" t="str">
        <f>IFERROR(__xludf.DUMMYFUNCTION("""COMPUTED_VALUE"""),"Working Student (f/m/d) Visual Analytics in Business Intelli...")</f>
        <v>Working Student (f/m/d) Visual Analytics in Business Intelli...</v>
      </c>
      <c r="C10" s="7" t="str">
        <f>IFERROR(__xludf.DUMMYFUNCTION("""COMPUTED_VALUE"""),"München")</f>
        <v>München</v>
      </c>
      <c r="D10" s="7" t="str">
        <f>IFERROR(__xludf.DUMMYFUNCTION("""COMPUTED_VALUE"""),"Siemens AG")</f>
        <v>Siemens AG</v>
      </c>
      <c r="E10" s="7" t="str">
        <f>IFERROR(__xludf.DUMMYFUNCTION("""COMPUTED_VALUE"""),"NO SALARY DATA")</f>
        <v>NO SALARY DATA</v>
      </c>
      <c r="F10" s="7" t="str">
        <f>IFERROR(__xludf.DUMMYFUNCTION("""COMPUTED_VALUE"""),"No salary data")</f>
        <v>No salary data</v>
      </c>
      <c r="G10" s="7" t="str">
        <f>IFERROR(__xludf.DUMMYFUNCTION("""COMPUTED_VALUE"""),"SQL, Tableau, Excel")</f>
        <v>SQL, Tableau, Excel</v>
      </c>
      <c r="H10" s="7" t="str">
        <f>IFERROR(__xludf.DUMMYFUNCTION("""COMPUTED_VALUE"""),"Part Time")</f>
        <v>Part Time</v>
      </c>
      <c r="I10" s="7" t="str">
        <f>IFERROR(__xludf.DUMMYFUNCTION("""COMPUTED_VALUE"""),"4,0")</f>
        <v>4,0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 t="str">
        <f>IFERROR(__xludf.DUMMYFUNCTION("""COMPUTED_VALUE"""),"26 days ago")</f>
        <v>26 days ago</v>
      </c>
      <c r="B11" s="7" t="str">
        <f>IFERROR(__xludf.DUMMYFUNCTION("""COMPUTED_VALUE"""),"Praktikant (m/w/d) im Bereich Data Science/Data Engineering...")</f>
        <v>Praktikant (m/w/d) im Bereich Data Science/Data Engineering...</v>
      </c>
      <c r="C11" s="7" t="str">
        <f>IFERROR(__xludf.DUMMYFUNCTION("""COMPUTED_VALUE"""),"Düsseldorf")</f>
        <v>Düsseldorf</v>
      </c>
      <c r="D11" s="7" t="str">
        <f>IFERROR(__xludf.DUMMYFUNCTION("""COMPUTED_VALUE"""),"Vodafone")</f>
        <v>Vodafone</v>
      </c>
      <c r="E11" s="7" t="str">
        <f>IFERROR(__xludf.DUMMYFUNCTION("""COMPUTED_VALUE"""),"NO SALARY DATA")</f>
        <v>NO SALARY DATA</v>
      </c>
      <c r="F11" s="7" t="str">
        <f>IFERROR(__xludf.DUMMYFUNCTION("""COMPUTED_VALUE"""),"No salary data")</f>
        <v>No salary data</v>
      </c>
      <c r="G11" s="7" t="str">
        <f>IFERROR(__xludf.DUMMYFUNCTION("""COMPUTED_VALUE"""),"Python, SQL, Tableau, Excel, Git")</f>
        <v>Python, SQL, Tableau, Excel, Git</v>
      </c>
      <c r="H11" s="7" t="str">
        <f>IFERROR(__xludf.DUMMYFUNCTION("""COMPUTED_VALUE"""),"No job type data")</f>
        <v>No job type data</v>
      </c>
      <c r="I11" s="7" t="str">
        <f>IFERROR(__xludf.DUMMYFUNCTION("""COMPUTED_VALUE"""),"3,9")</f>
        <v>3,9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tr">
        <f>IFERROR(__xludf.DUMMYFUNCTION("""COMPUTED_VALUE"""),"6 days ago")</f>
        <v>6 days ago</v>
      </c>
      <c r="B12" s="7" t="str">
        <f>IFERROR(__xludf.DUMMYFUNCTION("""COMPUTED_VALUE"""),"Student Job: Computer Science (f/m/div)*")</f>
        <v>Student Job: Computer Science (f/m/div)*</v>
      </c>
      <c r="C12" s="7" t="str">
        <f>IFERROR(__xludf.DUMMYFUNCTION("""COMPUTED_VALUE"""),"München")</f>
        <v>München</v>
      </c>
      <c r="D12" s="7" t="str">
        <f>IFERROR(__xludf.DUMMYFUNCTION("""COMPUTED_VALUE"""),"Infineon Technologies")</f>
        <v>Infineon Technologies</v>
      </c>
      <c r="E12" s="7" t="str">
        <f>IFERROR(__xludf.DUMMYFUNCTION("""COMPUTED_VALUE"""),"NO SALARY DATA")</f>
        <v>NO SALARY DATA</v>
      </c>
      <c r="F12" s="7" t="str">
        <f>IFERROR(__xludf.DUMMYFUNCTION("""COMPUTED_VALUE"""),"No salary data")</f>
        <v>No salary data</v>
      </c>
      <c r="G12" s="7" t="str">
        <f>IFERROR(__xludf.DUMMYFUNCTION("""COMPUTED_VALUE"""),"Python, Tableau, Excel")</f>
        <v>Python, Tableau, Excel</v>
      </c>
      <c r="H12" s="7" t="str">
        <f>IFERROR(__xludf.DUMMYFUNCTION("""COMPUTED_VALUE"""),"No job type data")</f>
        <v>No job type data</v>
      </c>
      <c r="I12" s="7" t="str">
        <f>IFERROR(__xludf.DUMMYFUNCTION("""COMPUTED_VALUE"""),"4,0")</f>
        <v>4,0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tr">
        <f>IFERROR(__xludf.DUMMYFUNCTION("""COMPUTED_VALUE"""),"19 days ago")</f>
        <v>19 days ago</v>
      </c>
      <c r="B13" s="7" t="str">
        <f>IFERROR(__xludf.DUMMYFUNCTION("""COMPUTED_VALUE"""),"Business Intelligence Analyst")</f>
        <v>Business Intelligence Analyst</v>
      </c>
      <c r="C13" s="7" t="str">
        <f>IFERROR(__xludf.DUMMYFUNCTION("""COMPUTED_VALUE"""),"Frankfurt am Main")</f>
        <v>Frankfurt am Main</v>
      </c>
      <c r="D13" s="7" t="str">
        <f>IFERROR(__xludf.DUMMYFUNCTION("""COMPUTED_VALUE"""),"Bettzeit GmbH")</f>
        <v>Bettzeit GmbH</v>
      </c>
      <c r="E13" s="7" t="str">
        <f>IFERROR(__xludf.DUMMYFUNCTION("""COMPUTED_VALUE"""),"NO SALARY DATA")</f>
        <v>NO SALARY DATA</v>
      </c>
      <c r="F13" s="7" t="str">
        <f>IFERROR(__xludf.DUMMYFUNCTION("""COMPUTED_VALUE"""),"No salary data")</f>
        <v>No salary data</v>
      </c>
      <c r="G13" s="7" t="str">
        <f>IFERROR(__xludf.DUMMYFUNCTION("""COMPUTED_VALUE"""),"SQL, Tableau, Excel, Statistic")</f>
        <v>SQL, Tableau, Excel, Statistic</v>
      </c>
      <c r="H13" s="7" t="str">
        <f>IFERROR(__xludf.DUMMYFUNCTION("""COMPUTED_VALUE"""),"No job type data")</f>
        <v>No job type data</v>
      </c>
      <c r="I13" s="7" t="str">
        <f>IFERROR(__xludf.DUMMYFUNCTION("""COMPUTED_VALUE"""),"4,5")</f>
        <v>4,5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 t="str">
        <f>IFERROR(__xludf.DUMMYFUNCTION("""COMPUTED_VALUE"""),"5 days ago")</f>
        <v>5 days ago</v>
      </c>
      <c r="B14" s="7" t="str">
        <f>IFERROR(__xludf.DUMMYFUNCTION("""COMPUTED_VALUE"""),"Praktikant (m/w/d) im Bereich Business Intelligence, Data &amp;...")</f>
        <v>Praktikant (m/w/d) im Bereich Business Intelligence, Data &amp;...</v>
      </c>
      <c r="C14" s="7" t="str">
        <f>IFERROR(__xludf.DUMMYFUNCTION("""COMPUTED_VALUE"""),"Düsseldorf")</f>
        <v>Düsseldorf</v>
      </c>
      <c r="D14" s="7" t="str">
        <f>IFERROR(__xludf.DUMMYFUNCTION("""COMPUTED_VALUE"""),"Vodafone")</f>
        <v>Vodafone</v>
      </c>
      <c r="E14" s="7" t="str">
        <f>IFERROR(__xludf.DUMMYFUNCTION("""COMPUTED_VALUE"""),"NO SALARY DATA")</f>
        <v>NO SALARY DATA</v>
      </c>
      <c r="F14" s="7" t="str">
        <f>IFERROR(__xludf.DUMMYFUNCTION("""COMPUTED_VALUE"""),"No salary data")</f>
        <v>No salary data</v>
      </c>
      <c r="G14" s="7" t="str">
        <f>IFERROR(__xludf.DUMMYFUNCTION("""COMPUTED_VALUE"""),"Excel, Git, Jira")</f>
        <v>Excel, Git, Jira</v>
      </c>
      <c r="H14" s="7" t="str">
        <f>IFERROR(__xludf.DUMMYFUNCTION("""COMPUTED_VALUE"""),"No job type data")</f>
        <v>No job type data</v>
      </c>
      <c r="I14" s="7" t="str">
        <f>IFERROR(__xludf.DUMMYFUNCTION("""COMPUTED_VALUE"""),"3,9")</f>
        <v>3,9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 t="str">
        <f>IFERROR(__xludf.DUMMYFUNCTION("""COMPUTED_VALUE"""),"19 days ago")</f>
        <v>19 days ago</v>
      </c>
      <c r="B15" s="7" t="str">
        <f>IFERROR(__xludf.DUMMYFUNCTION("""COMPUTED_VALUE"""),"Internship Business Intelligence")</f>
        <v>Internship Business Intelligence</v>
      </c>
      <c r="C15" s="7" t="str">
        <f>IFERROR(__xludf.DUMMYFUNCTION("""COMPUTED_VALUE"""),"Frankfurt am Main")</f>
        <v>Frankfurt am Main</v>
      </c>
      <c r="D15" s="7" t="str">
        <f>IFERROR(__xludf.DUMMYFUNCTION("""COMPUTED_VALUE"""),"Bettzeit GmbH")</f>
        <v>Bettzeit GmbH</v>
      </c>
      <c r="E15" s="7" t="str">
        <f>IFERROR(__xludf.DUMMYFUNCTION("""COMPUTED_VALUE"""),"NO SALARY DATA")</f>
        <v>NO SALARY DATA</v>
      </c>
      <c r="F15" s="7" t="str">
        <f>IFERROR(__xludf.DUMMYFUNCTION("""COMPUTED_VALUE"""),"No salary data")</f>
        <v>No salary data</v>
      </c>
      <c r="G15" s="7" t="str">
        <f>IFERROR(__xludf.DUMMYFUNCTION("""COMPUTED_VALUE"""),"SQL, Tableau, Excel, Statistic")</f>
        <v>SQL, Tableau, Excel, Statistic</v>
      </c>
      <c r="H15" s="7" t="str">
        <f>IFERROR(__xludf.DUMMYFUNCTION("""COMPUTED_VALUE"""),"Internship")</f>
        <v>Internship</v>
      </c>
      <c r="I15" s="7" t="str">
        <f>IFERROR(__xludf.DUMMYFUNCTION("""COMPUTED_VALUE"""),"4,5")</f>
        <v>4,5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 t="str">
        <f>IFERROR(__xludf.DUMMYFUNCTION("""COMPUTED_VALUE"""),"5 days ago")</f>
        <v>5 days ago</v>
      </c>
      <c r="B16" s="7" t="str">
        <f>IFERROR(__xludf.DUMMYFUNCTION("""COMPUTED_VALUE"""),"Data Analyst (f/m/d) - Investment Data &amp; Technology")</f>
        <v>Data Analyst (f/m/d) - Investment Data &amp; Technology</v>
      </c>
      <c r="C16" s="7" t="str">
        <f>IFERROR(__xludf.DUMMYFUNCTION("""COMPUTED_VALUE"""),"Frankfurt am Main")</f>
        <v>Frankfurt am Main</v>
      </c>
      <c r="D16" s="7" t="str">
        <f>IFERROR(__xludf.DUMMYFUNCTION("""COMPUTED_VALUE"""),"Allianz Global Investors")</f>
        <v>Allianz Global Investors</v>
      </c>
      <c r="E16" s="7" t="str">
        <f>IFERROR(__xludf.DUMMYFUNCTION("""COMPUTED_VALUE"""),"NO SALARY DATA")</f>
        <v>NO SALARY DATA</v>
      </c>
      <c r="F16" s="7" t="str">
        <f>IFERROR(__xludf.DUMMYFUNCTION("""COMPUTED_VALUE"""),"No salary data")</f>
        <v>No salary data</v>
      </c>
      <c r="G16" s="7" t="str">
        <f>IFERROR(__xludf.DUMMYFUNCTION("""COMPUTED_VALUE"""),"Python, SQL, Excel, Agile")</f>
        <v>Python, SQL, Excel, Agile</v>
      </c>
      <c r="H16" s="7" t="str">
        <f>IFERROR(__xludf.DUMMYFUNCTION("""COMPUTED_VALUE"""),"No job type data")</f>
        <v>No job type data</v>
      </c>
      <c r="I16" s="7" t="str">
        <f>IFERROR(__xludf.DUMMYFUNCTION("""COMPUTED_VALUE"""),"3,9")</f>
        <v>3,9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 t="str">
        <f>IFERROR(__xludf.DUMMYFUNCTION("""COMPUTED_VALUE"""),"More than 30 days ago")</f>
        <v>More than 30 days ago</v>
      </c>
      <c r="B17" s="7" t="str">
        <f>IFERROR(__xludf.DUMMYFUNCTION("""COMPUTED_VALUE"""),"Praktikant Actuarial Services – Data Analytics")</f>
        <v>Praktikant Actuarial Services – Data Analytics</v>
      </c>
      <c r="C17" s="7" t="str">
        <f>IFERROR(__xludf.DUMMYFUNCTION("""COMPUTED_VALUE"""),"München")</f>
        <v>München</v>
      </c>
      <c r="D17" s="7" t="str">
        <f>IFERROR(__xludf.DUMMYFUNCTION("""COMPUTED_VALUE"""),"Munich Re")</f>
        <v>Munich Re</v>
      </c>
      <c r="E17" s="7" t="str">
        <f>IFERROR(__xludf.DUMMYFUNCTION("""COMPUTED_VALUE"""),"NO SALARY DATA")</f>
        <v>NO SALARY DATA</v>
      </c>
      <c r="F17" s="7" t="str">
        <f>IFERROR(__xludf.DUMMYFUNCTION("""COMPUTED_VALUE"""),"No salary data")</f>
        <v>No salary data</v>
      </c>
      <c r="G17" s="7" t="str">
        <f>IFERROR(__xludf.DUMMYFUNCTION("""COMPUTED_VALUE"""),"Python, SQL, Excel")</f>
        <v>Python, SQL, Excel</v>
      </c>
      <c r="H17" s="7" t="str">
        <f>IFERROR(__xludf.DUMMYFUNCTION("""COMPUTED_VALUE"""),"No job type data")</f>
        <v>No job type data</v>
      </c>
      <c r="I17" s="7" t="str">
        <f>IFERROR(__xludf.DUMMYFUNCTION("""COMPUTED_VALUE"""),"4,0")</f>
        <v>4,0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 t="str">
        <f>IFERROR(__xludf.DUMMYFUNCTION("""COMPUTED_VALUE"""),"24 days ago")</f>
        <v>24 days ago</v>
      </c>
      <c r="B18" s="7" t="str">
        <f>IFERROR(__xludf.DUMMYFUNCTION("""COMPUTED_VALUE"""),"Data Scientist in Biostatistics (m/f/d)")</f>
        <v>Data Scientist in Biostatistics (m/f/d)</v>
      </c>
      <c r="C18" s="7" t="str">
        <f>IFERROR(__xludf.DUMMYFUNCTION("""COMPUTED_VALUE"""),"Penzberg")</f>
        <v>Penzberg</v>
      </c>
      <c r="D18" s="7" t="str">
        <f>IFERROR(__xludf.DUMMYFUNCTION("""COMPUTED_VALUE"""),"Roche")</f>
        <v>Roche</v>
      </c>
      <c r="E18" s="7" t="str">
        <f>IFERROR(__xludf.DUMMYFUNCTION("""COMPUTED_VALUE"""),"NO SALARY DATA")</f>
        <v>NO SALARY DATA</v>
      </c>
      <c r="F18" s="7" t="str">
        <f>IFERROR(__xludf.DUMMYFUNCTION("""COMPUTED_VALUE"""),"No salary data")</f>
        <v>No salary data</v>
      </c>
      <c r="G18" s="7" t="str">
        <f>IFERROR(__xludf.DUMMYFUNCTION("""COMPUTED_VALUE"""),"Python, SQL, Tableau, Excel, Machine Learning, Deep Learning, Statistic, Agile")</f>
        <v>Python, SQL, Tableau, Excel, Machine Learning, Deep Learning, Statistic, Agile</v>
      </c>
      <c r="H18" s="7" t="str">
        <f>IFERROR(__xludf.DUMMYFUNCTION("""COMPUTED_VALUE"""),"No job type data")</f>
        <v>No job type data</v>
      </c>
      <c r="I18" s="7" t="str">
        <f>IFERROR(__xludf.DUMMYFUNCTION("""COMPUTED_VALUE"""),"4,2")</f>
        <v>4,2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 t="str">
        <f>IFERROR(__xludf.DUMMYFUNCTION("""COMPUTED_VALUE"""),"6 days ago")</f>
        <v>6 days ago</v>
      </c>
      <c r="B19" s="7" t="str">
        <f>IFERROR(__xludf.DUMMYFUNCTION("""COMPUTED_VALUE"""),"Student Job: Computer Science (f/m/div)*")</f>
        <v>Student Job: Computer Science (f/m/div)*</v>
      </c>
      <c r="C19" s="7" t="str">
        <f>IFERROR(__xludf.DUMMYFUNCTION("""COMPUTED_VALUE"""),"München")</f>
        <v>München</v>
      </c>
      <c r="D19" s="7" t="str">
        <f>IFERROR(__xludf.DUMMYFUNCTION("""COMPUTED_VALUE"""),"Infineon Technologies")</f>
        <v>Infineon Technologies</v>
      </c>
      <c r="E19" s="7" t="str">
        <f>IFERROR(__xludf.DUMMYFUNCTION("""COMPUTED_VALUE"""),"NO SALARY DATA")</f>
        <v>NO SALARY DATA</v>
      </c>
      <c r="F19" s="7" t="str">
        <f>IFERROR(__xludf.DUMMYFUNCTION("""COMPUTED_VALUE"""),"No salary data")</f>
        <v>No salary data</v>
      </c>
      <c r="G19" s="7" t="str">
        <f>IFERROR(__xludf.DUMMYFUNCTION("""COMPUTED_VALUE"""),"Python, Tableau, Excel")</f>
        <v>Python, Tableau, Excel</v>
      </c>
      <c r="H19" s="7" t="str">
        <f>IFERROR(__xludf.DUMMYFUNCTION("""COMPUTED_VALUE"""),"No job type data")</f>
        <v>No job type data</v>
      </c>
      <c r="I19" s="7" t="str">
        <f>IFERROR(__xludf.DUMMYFUNCTION("""COMPUTED_VALUE"""),"4,0")</f>
        <v>4,0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 t="str">
        <f>IFERROR(__xludf.DUMMYFUNCTION("""COMPUTED_VALUE"""),"More than 30 days ago")</f>
        <v>More than 30 days ago</v>
      </c>
      <c r="B20" s="7" t="str">
        <f>IFERROR(__xludf.DUMMYFUNCTION("""COMPUTED_VALUE"""),"Business Analyst (m/w/d) Business Optimization")</f>
        <v>Business Analyst (m/w/d) Business Optimization</v>
      </c>
      <c r="C20" s="7" t="str">
        <f>IFERROR(__xludf.DUMMYFUNCTION("""COMPUTED_VALUE"""),"Düsseldorf")</f>
        <v>Düsseldorf</v>
      </c>
      <c r="D20" s="7" t="str">
        <f>IFERROR(__xludf.DUMMYFUNCTION("""COMPUTED_VALUE"""),"QVC")</f>
        <v>QVC</v>
      </c>
      <c r="E20" s="7" t="str">
        <f>IFERROR(__xludf.DUMMYFUNCTION("""COMPUTED_VALUE"""),"NO SALARY DATA")</f>
        <v>NO SALARY DATA</v>
      </c>
      <c r="F20" s="7" t="str">
        <f>IFERROR(__xludf.DUMMYFUNCTION("""COMPUTED_VALUE"""),"No salary data")</f>
        <v>No salary data</v>
      </c>
      <c r="G20" s="7" t="str">
        <f>IFERROR(__xludf.DUMMYFUNCTION("""COMPUTED_VALUE"""),"Python, SQL, Excel, Statistic")</f>
        <v>Python, SQL, Excel, Statistic</v>
      </c>
      <c r="H20" s="7" t="str">
        <f>IFERROR(__xludf.DUMMYFUNCTION("""COMPUTED_VALUE"""),"No job type data")</f>
        <v>No job type data</v>
      </c>
      <c r="I20" s="7" t="str">
        <f>IFERROR(__xludf.DUMMYFUNCTION("""COMPUTED_VALUE"""),"3,8")</f>
        <v>3,8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 t="str">
        <f>IFERROR(__xludf.DUMMYFUNCTION("""COMPUTED_VALUE"""),"More than 30 days ago")</f>
        <v>More than 30 days ago</v>
      </c>
      <c r="B21" s="7" t="str">
        <f>IFERROR(__xludf.DUMMYFUNCTION("""COMPUTED_VALUE"""),"Team Lead Data Analytics (f/m/d)")</f>
        <v>Team Lead Data Analytics (f/m/d)</v>
      </c>
      <c r="C21" s="7" t="str">
        <f>IFERROR(__xludf.DUMMYFUNCTION("""COMPUTED_VALUE"""),"München")</f>
        <v>München</v>
      </c>
      <c r="D21" s="7" t="str">
        <f>IFERROR(__xludf.DUMMYFUNCTION("""COMPUTED_VALUE"""),"Holidu GmbH")</f>
        <v>Holidu GmbH</v>
      </c>
      <c r="E21" s="7" t="str">
        <f>IFERROR(__xludf.DUMMYFUNCTION("""COMPUTED_VALUE"""),"NO SALARY DATA")</f>
        <v>NO SALARY DATA</v>
      </c>
      <c r="F21" s="7" t="str">
        <f>IFERROR(__xludf.DUMMYFUNCTION("""COMPUTED_VALUE"""),"No salary data")</f>
        <v>No salary data</v>
      </c>
      <c r="G21" s="7" t="str">
        <f>IFERROR(__xludf.DUMMYFUNCTION("""COMPUTED_VALUE"""),"Python, SQL, Tableau, Excel, Git")</f>
        <v>Python, SQL, Tableau, Excel, Git</v>
      </c>
      <c r="H21" s="7" t="str">
        <f>IFERROR(__xludf.DUMMYFUNCTION("""COMPUTED_VALUE"""),"Full-Time")</f>
        <v>Full-Time</v>
      </c>
      <c r="I21" s="7" t="str">
        <f>IFERROR(__xludf.DUMMYFUNCTION("""COMPUTED_VALUE"""),"4,4")</f>
        <v>4,4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 t="str">
        <f>IFERROR(__xludf.DUMMYFUNCTION("""COMPUTED_VALUE"""),"16 days ago")</f>
        <v>16 days ago</v>
      </c>
      <c r="B22" s="7" t="str">
        <f>IFERROR(__xludf.DUMMYFUNCTION("""COMPUTED_VALUE"""),"Data Analytics Engineer (all genders)")</f>
        <v>Data Analytics Engineer (all genders)</v>
      </c>
      <c r="C22" s="7" t="str">
        <f>IFERROR(__xludf.DUMMYFUNCTION("""COMPUTED_VALUE"""),"Darmstadt")</f>
        <v>Darmstadt</v>
      </c>
      <c r="D22" s="7" t="str">
        <f>IFERROR(__xludf.DUMMYFUNCTION("""COMPUTED_VALUE"""),"Merck KGaA")</f>
        <v>Merck KGaA</v>
      </c>
      <c r="E22" s="7" t="str">
        <f>IFERROR(__xludf.DUMMYFUNCTION("""COMPUTED_VALUE"""),"NO SALARY DATA")</f>
        <v>NO SALARY DATA</v>
      </c>
      <c r="F22" s="7" t="str">
        <f>IFERROR(__xludf.DUMMYFUNCTION("""COMPUTED_VALUE"""),"No salary data")</f>
        <v>No salary data</v>
      </c>
      <c r="G22" s="7" t="str">
        <f>IFERROR(__xludf.DUMMYFUNCTION("""COMPUTED_VALUE"""),"Python, SQL, Excel, Machine Learning, Git, Agile, Scrum")</f>
        <v>Python, SQL, Excel, Machine Learning, Git, Agile, Scrum</v>
      </c>
      <c r="H22" s="7" t="str">
        <f>IFERROR(__xludf.DUMMYFUNCTION("""COMPUTED_VALUE"""),"Full-Time")</f>
        <v>Full-Time</v>
      </c>
      <c r="I22" s="7" t="str">
        <f>IFERROR(__xludf.DUMMYFUNCTION("""COMPUTED_VALUE"""),"4,1")</f>
        <v>4,1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 t="str">
        <f>IFERROR(__xludf.DUMMYFUNCTION("""COMPUTED_VALUE"""),"5 days ago")</f>
        <v>5 days ago</v>
      </c>
      <c r="B23" s="7" t="str">
        <f>IFERROR(__xludf.DUMMYFUNCTION("""COMPUTED_VALUE"""),"Business Intelligence Engineer - Data Insights")</f>
        <v>Business Intelligence Engineer - Data Insights</v>
      </c>
      <c r="C23" s="7" t="str">
        <f>IFERROR(__xludf.DUMMYFUNCTION("""COMPUTED_VALUE"""),"Berlin")</f>
        <v>Berlin</v>
      </c>
      <c r="D23" s="7" t="str">
        <f>IFERROR(__xludf.DUMMYFUNCTION("""COMPUTED_VALUE"""),"Zalando")</f>
        <v>Zalando</v>
      </c>
      <c r="E23" s="7" t="str">
        <f>IFERROR(__xludf.DUMMYFUNCTION("""COMPUTED_VALUE"""),"NO SALARY DATA")</f>
        <v>NO SALARY DATA</v>
      </c>
      <c r="F23" s="7" t="str">
        <f>IFERROR(__xludf.DUMMYFUNCTION("""COMPUTED_VALUE"""),"No salary data")</f>
        <v>No salary data</v>
      </c>
      <c r="G23" s="7" t="str">
        <f>IFERROR(__xludf.DUMMYFUNCTION("""COMPUTED_VALUE"""),"SQL, Excel, Git")</f>
        <v>SQL, Excel, Git</v>
      </c>
      <c r="H23" s="7" t="str">
        <f>IFERROR(__xludf.DUMMYFUNCTION("""COMPUTED_VALUE"""),"Volunteer")</f>
        <v>Volunteer</v>
      </c>
      <c r="I23" s="7" t="str">
        <f>IFERROR(__xludf.DUMMYFUNCTION("""COMPUTED_VALUE"""),"3,1")</f>
        <v>3,1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 t="str">
        <f>IFERROR(__xludf.DUMMYFUNCTION("""COMPUTED_VALUE"""),"12 days ago")</f>
        <v>12 days ago</v>
      </c>
      <c r="B24" s="7" t="str">
        <f>IFERROR(__xludf.DUMMYFUNCTION("""COMPUTED_VALUE"""),"Data Engineer")</f>
        <v>Data Engineer</v>
      </c>
      <c r="C24" s="7" t="str">
        <f>IFERROR(__xludf.DUMMYFUNCTION("""COMPUTED_VALUE"""),"Biberach an der Riß")</f>
        <v>Biberach an der Riß</v>
      </c>
      <c r="D24" s="7" t="str">
        <f>IFERROR(__xludf.DUMMYFUNCTION("""COMPUTED_VALUE"""),"Boehringer Ingelheim")</f>
        <v>Boehringer Ingelheim</v>
      </c>
      <c r="E24" s="7" t="str">
        <f>IFERROR(__xludf.DUMMYFUNCTION("""COMPUTED_VALUE"""),"NO SALARY DATA")</f>
        <v>NO SALARY DATA</v>
      </c>
      <c r="F24" s="7" t="str">
        <f>IFERROR(__xludf.DUMMYFUNCTION("""COMPUTED_VALUE"""),"No salary data")</f>
        <v>No salary data</v>
      </c>
      <c r="G24" s="7" t="str">
        <f>IFERROR(__xludf.DUMMYFUNCTION("""COMPUTED_VALUE"""),"Python, SQL, Excel, Git")</f>
        <v>Python, SQL, Excel, Git</v>
      </c>
      <c r="H24" s="7" t="str">
        <f>IFERROR(__xludf.DUMMYFUNCTION("""COMPUTED_VALUE"""),"Full-Time")</f>
        <v>Full-Time</v>
      </c>
      <c r="I24" s="7" t="str">
        <f>IFERROR(__xludf.DUMMYFUNCTION("""COMPUTED_VALUE"""),"4,1")</f>
        <v>4,1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 t="str">
        <f>IFERROR(__xludf.DUMMYFUNCTION("""COMPUTED_VALUE"""),"More than 30 days ago")</f>
        <v>More than 30 days ago</v>
      </c>
      <c r="B25" s="7" t="str">
        <f>IFERROR(__xludf.DUMMYFUNCTION("""COMPUTED_VALUE"""),"Data Engineering Consultant")</f>
        <v>Data Engineering Consultant</v>
      </c>
      <c r="C25" s="7" t="str">
        <f>IFERROR(__xludf.DUMMYFUNCTION("""COMPUTED_VALUE"""),"München")</f>
        <v>München</v>
      </c>
      <c r="D25" s="7" t="str">
        <f>IFERROR(__xludf.DUMMYFUNCTION("""COMPUTED_VALUE"""),"Munich Re")</f>
        <v>Munich Re</v>
      </c>
      <c r="E25" s="7" t="str">
        <f>IFERROR(__xludf.DUMMYFUNCTION("""COMPUTED_VALUE"""),"NO SALARY DATA")</f>
        <v>NO SALARY DATA</v>
      </c>
      <c r="F25" s="7" t="str">
        <f>IFERROR(__xludf.DUMMYFUNCTION("""COMPUTED_VALUE"""),"No salary data")</f>
        <v>No salary data</v>
      </c>
      <c r="G25" s="7" t="str">
        <f>IFERROR(__xludf.DUMMYFUNCTION("""COMPUTED_VALUE"""),"Python, SQL, Excel, Machine Learning, Deep Learning, Agile, Scrum")</f>
        <v>Python, SQL, Excel, Machine Learning, Deep Learning, Agile, Scrum</v>
      </c>
      <c r="H25" s="7" t="str">
        <f>IFERROR(__xludf.DUMMYFUNCTION("""COMPUTED_VALUE"""),"No job type data")</f>
        <v>No job type data</v>
      </c>
      <c r="I25" s="7" t="str">
        <f>IFERROR(__xludf.DUMMYFUNCTION("""COMPUTED_VALUE"""),"4,0")</f>
        <v>4,0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 t="str">
        <f>IFERROR(__xludf.DUMMYFUNCTION("""COMPUTED_VALUE"""),"Straight")</f>
        <v>Straight</v>
      </c>
      <c r="B26" s="7" t="str">
        <f>IFERROR(__xludf.DUMMYFUNCTION("""COMPUTED_VALUE"""),"Praktikum: Cost of Non Quality Data analyst &amp; programming (m...")</f>
        <v>Praktikum: Cost of Non Quality Data analyst &amp; programming (m...</v>
      </c>
      <c r="C26" s="7" t="str">
        <f>IFERROR(__xludf.DUMMYFUNCTION("""COMPUTED_VALUE"""),"Donauwörth")</f>
        <v>Donauwörth</v>
      </c>
      <c r="D26" s="7" t="str">
        <f>IFERROR(__xludf.DUMMYFUNCTION("""COMPUTED_VALUE"""),"Airbus")</f>
        <v>Airbus</v>
      </c>
      <c r="E26" s="7" t="str">
        <f>IFERROR(__xludf.DUMMYFUNCTION("""COMPUTED_VALUE"""),"NO SALARY DATA")</f>
        <v>NO SALARY DATA</v>
      </c>
      <c r="F26" s="7" t="str">
        <f>IFERROR(__xludf.DUMMYFUNCTION("""COMPUTED_VALUE"""),"No salary data")</f>
        <v>No salary data</v>
      </c>
      <c r="G26" s="7" t="str">
        <f>IFERROR(__xludf.DUMMYFUNCTION("""COMPUTED_VALUE"""),"Excel, Statistic")</f>
        <v>Excel, Statistic</v>
      </c>
      <c r="H26" s="7" t="str">
        <f>IFERROR(__xludf.DUMMYFUNCTION("""COMPUTED_VALUE"""),"Internship")</f>
        <v>Internship</v>
      </c>
      <c r="I26" s="7" t="str">
        <f>IFERROR(__xludf.DUMMYFUNCTION("""COMPUTED_VALUE"""),"4,2")</f>
        <v>4,2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 t="str">
        <f>IFERROR(__xludf.DUMMYFUNCTION("""COMPUTED_VALUE"""),"18 days ago")</f>
        <v>18 days ago</v>
      </c>
      <c r="B27" s="7" t="str">
        <f>IFERROR(__xludf.DUMMYFUNCTION("""COMPUTED_VALUE"""),"Business Intelligence Analyst - Global BI (m,f,x)")</f>
        <v>Business Intelligence Analyst - Global BI (m,f,x)</v>
      </c>
      <c r="C27" s="7" t="str">
        <f>IFERROR(__xludf.DUMMYFUNCTION("""COMPUTED_VALUE"""),"Berlin")</f>
        <v>Berlin</v>
      </c>
      <c r="D27" s="7" t="str">
        <f>IFERROR(__xludf.DUMMYFUNCTION("""COMPUTED_VALUE"""),"HelloFresh")</f>
        <v>HelloFresh</v>
      </c>
      <c r="E27" s="7" t="str">
        <f>IFERROR(__xludf.DUMMYFUNCTION("""COMPUTED_VALUE"""),"NO SALARY DATA")</f>
        <v>NO SALARY DATA</v>
      </c>
      <c r="F27" s="7" t="str">
        <f>IFERROR(__xludf.DUMMYFUNCTION("""COMPUTED_VALUE"""),"No salary data")</f>
        <v>No salary data</v>
      </c>
      <c r="G27" s="7" t="str">
        <f>IFERROR(__xludf.DUMMYFUNCTION("""COMPUTED_VALUE"""),"Python, SQL, Tableau, Excel")</f>
        <v>Python, SQL, Tableau, Excel</v>
      </c>
      <c r="H27" s="7" t="str">
        <f>IFERROR(__xludf.DUMMYFUNCTION("""COMPUTED_VALUE"""),"No job type data")</f>
        <v>No job type data</v>
      </c>
      <c r="I27" s="7" t="str">
        <f>IFERROR(__xludf.DUMMYFUNCTION("""COMPUTED_VALUE"""),"3,2")</f>
        <v>3,2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 t="str">
        <f>IFERROR(__xludf.DUMMYFUNCTION("""COMPUTED_VALUE"""),"More than 30 days ago")</f>
        <v>More than 30 days ago</v>
      </c>
      <c r="B28" s="7" t="str">
        <f>IFERROR(__xludf.DUMMYFUNCTION("""COMPUTED_VALUE"""),"Technology Architect – Data and Analytics - Cloud platforms")</f>
        <v>Technology Architect – Data and Analytics - Cloud platforms</v>
      </c>
      <c r="C28" s="7" t="str">
        <f>IFERROR(__xludf.DUMMYFUNCTION("""COMPUTED_VALUE"""),"München")</f>
        <v>München</v>
      </c>
      <c r="D28" s="7" t="str">
        <f>IFERROR(__xludf.DUMMYFUNCTION("""COMPUTED_VALUE"""),"Infosys Limited")</f>
        <v>Infosys Limited</v>
      </c>
      <c r="E28" s="7" t="str">
        <f>IFERROR(__xludf.DUMMYFUNCTION("""COMPUTED_VALUE"""),"NO SALARY DATA")</f>
        <v>NO SALARY DATA</v>
      </c>
      <c r="F28" s="7" t="str">
        <f>IFERROR(__xludf.DUMMYFUNCTION("""COMPUTED_VALUE"""),"No salary data")</f>
        <v>No salary data</v>
      </c>
      <c r="G28" s="7" t="str">
        <f>IFERROR(__xludf.DUMMYFUNCTION("""COMPUTED_VALUE"""),"Python, SQL, Excel, Git, Agile")</f>
        <v>Python, SQL, Excel, Git, Agile</v>
      </c>
      <c r="H28" s="7" t="str">
        <f>IFERROR(__xludf.DUMMYFUNCTION("""COMPUTED_VALUE"""),"No job type data")</f>
        <v>No job type data</v>
      </c>
      <c r="I28" s="7" t="str">
        <f>IFERROR(__xludf.DUMMYFUNCTION("""COMPUTED_VALUE"""),"3,9")</f>
        <v>3,9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 t="str">
        <f>IFERROR(__xludf.DUMMYFUNCTION("""COMPUTED_VALUE"""),"2 days ago")</f>
        <v>2 days ago</v>
      </c>
      <c r="B29" s="7" t="str">
        <f>IFERROR(__xludf.DUMMYFUNCTION("""COMPUTED_VALUE"""),"Data Scientist (m|f|d)")</f>
        <v>Data Scientist (m|f|d)</v>
      </c>
      <c r="C29" s="7" t="str">
        <f>IFERROR(__xludf.DUMMYFUNCTION("""COMPUTED_VALUE"""),"Göttingen")</f>
        <v>Göttingen</v>
      </c>
      <c r="D29" s="7" t="str">
        <f>IFERROR(__xludf.DUMMYFUNCTION("""COMPUTED_VALUE"""),"Sartorius Corporation")</f>
        <v>Sartorius Corporation</v>
      </c>
      <c r="E29" s="7" t="str">
        <f>IFERROR(__xludf.DUMMYFUNCTION("""COMPUTED_VALUE"""),"NO SALARY DATA")</f>
        <v>NO SALARY DATA</v>
      </c>
      <c r="F29" s="7" t="str">
        <f>IFERROR(__xludf.DUMMYFUNCTION("""COMPUTED_VALUE"""),"No salary data")</f>
        <v>No salary data</v>
      </c>
      <c r="G29" s="7" t="str">
        <f>IFERROR(__xludf.DUMMYFUNCTION("""COMPUTED_VALUE"""),"Python, SQL, Excel, Machine Learning, Agile")</f>
        <v>Python, SQL, Excel, Machine Learning, Agile</v>
      </c>
      <c r="H29" s="7" t="str">
        <f>IFERROR(__xludf.DUMMYFUNCTION("""COMPUTED_VALUE"""),"Full Time")</f>
        <v>Full Time</v>
      </c>
      <c r="I29" s="7" t="str">
        <f>IFERROR(__xludf.DUMMYFUNCTION("""COMPUTED_VALUE"""),"3,7")</f>
        <v>3,7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 t="str">
        <f>IFERROR(__xludf.DUMMYFUNCTION("""COMPUTED_VALUE"""),"More than 30 days ago")</f>
        <v>More than 30 days ago</v>
      </c>
      <c r="B30" s="7" t="str">
        <f>IFERROR(__xludf.DUMMYFUNCTION("""COMPUTED_VALUE"""),"Data Engineer – Business Intelligence (f/m/x)")</f>
        <v>Data Engineer – Business Intelligence (f/m/x)</v>
      </c>
      <c r="C30" s="7" t="str">
        <f>IFERROR(__xludf.DUMMYFUNCTION("""COMPUTED_VALUE"""),"Berlin")</f>
        <v>Berlin</v>
      </c>
      <c r="D30" s="7" t="str">
        <f>IFERROR(__xludf.DUMMYFUNCTION("""COMPUTED_VALUE"""),"Tourlane")</f>
        <v>Tourlane</v>
      </c>
      <c r="E30" s="7" t="str">
        <f>IFERROR(__xludf.DUMMYFUNCTION("""COMPUTED_VALUE"""),"NO SALARY DATA")</f>
        <v>NO SALARY DATA</v>
      </c>
      <c r="F30" s="7" t="str">
        <f>IFERROR(__xludf.DUMMYFUNCTION("""COMPUTED_VALUE"""),"No salary data")</f>
        <v>No salary data</v>
      </c>
      <c r="G30" s="7" t="str">
        <f>IFERROR(__xludf.DUMMYFUNCTION("""COMPUTED_VALUE"""),"Python, SQL, Excel, Agile")</f>
        <v>Python, SQL, Excel, Agile</v>
      </c>
      <c r="H30" s="7" t="str">
        <f>IFERROR(__xludf.DUMMYFUNCTION("""COMPUTED_VALUE"""),"No job type data")</f>
        <v>No job type data</v>
      </c>
      <c r="I30" s="7" t="str">
        <f>IFERROR(__xludf.DUMMYFUNCTION("""COMPUTED_VALUE"""),"3,1")</f>
        <v>3,1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 t="str">
        <f>IFERROR(__xludf.DUMMYFUNCTION("""COMPUTED_VALUE"""),"More than 30 days ago")</f>
        <v>More than 30 days ago</v>
      </c>
      <c r="B31" s="7" t="str">
        <f>IFERROR(__xludf.DUMMYFUNCTION("""COMPUTED_VALUE"""),"Data Analyst mit Schwerpunkt Logistik (m/w/d)")</f>
        <v>Data Analyst mit Schwerpunkt Logistik (m/w/d)</v>
      </c>
      <c r="C31" s="7" t="str">
        <f>IFERROR(__xludf.DUMMYFUNCTION("""COMPUTED_VALUE"""),"Würzburg")</f>
        <v>Würzburg</v>
      </c>
      <c r="D31" s="7" t="str">
        <f>IFERROR(__xludf.DUMMYFUNCTION("""COMPUTED_VALUE"""),"XXXLutz")</f>
        <v>XXXLutz</v>
      </c>
      <c r="E31" s="7" t="str">
        <f>IFERROR(__xludf.DUMMYFUNCTION("""COMPUTED_VALUE"""),"NO SALARY DATA")</f>
        <v>NO SALARY DATA</v>
      </c>
      <c r="F31" s="7" t="str">
        <f>IFERROR(__xludf.DUMMYFUNCTION("""COMPUTED_VALUE"""),"No salary data")</f>
        <v>No salary data</v>
      </c>
      <c r="G31" s="7" t="str">
        <f>IFERROR(__xludf.DUMMYFUNCTION("""COMPUTED_VALUE"""),"SQL, Tableau, Excel")</f>
        <v>SQL, Tableau, Excel</v>
      </c>
      <c r="H31" s="7" t="str">
        <f>IFERROR(__xludf.DUMMYFUNCTION("""COMPUTED_VALUE"""),"No job type data")</f>
        <v>No job type data</v>
      </c>
      <c r="I31" s="7" t="str">
        <f>IFERROR(__xludf.DUMMYFUNCTION("""COMPUTED_VALUE"""),"2,9")</f>
        <v>2,9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 t="str">
        <f>IFERROR(__xludf.DUMMYFUNCTION("""COMPUTED_VALUE"""),"4 days ago")</f>
        <v>4 days ago</v>
      </c>
      <c r="B32" s="7" t="str">
        <f>IFERROR(__xludf.DUMMYFUNCTION("""COMPUTED_VALUE"""),"Data Engineer")</f>
        <v>Data Engineer</v>
      </c>
      <c r="C32" s="7" t="str">
        <f>IFERROR(__xludf.DUMMYFUNCTION("""COMPUTED_VALUE"""),"Dreilinden")</f>
        <v>Dreilinden</v>
      </c>
      <c r="D32" s="7" t="str">
        <f>IFERROR(__xludf.DUMMYFUNCTION("""COMPUTED_VALUE"""),"eBay Inc.")</f>
        <v>eBay Inc.</v>
      </c>
      <c r="E32" s="7" t="str">
        <f>IFERROR(__xludf.DUMMYFUNCTION("""COMPUTED_VALUE"""),"NO SALARY DATA")</f>
        <v>NO SALARY DATA</v>
      </c>
      <c r="F32" s="7" t="str">
        <f>IFERROR(__xludf.DUMMYFUNCTION("""COMPUTED_VALUE"""),"No salary data")</f>
        <v>No salary data</v>
      </c>
      <c r="G32" s="7" t="str">
        <f>IFERROR(__xludf.DUMMYFUNCTION("""COMPUTED_VALUE"""),"SQL, Excel, Linux")</f>
        <v>SQL, Excel, Linux</v>
      </c>
      <c r="H32" s="7" t="str">
        <f>IFERROR(__xludf.DUMMYFUNCTION("""COMPUTED_VALUE"""),"Full-Time")</f>
        <v>Full-Time</v>
      </c>
      <c r="I32" s="7" t="str">
        <f>IFERROR(__xludf.DUMMYFUNCTION("""COMPUTED_VALUE"""),"3,9")</f>
        <v>3,9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 t="str">
        <f>IFERROR(__xludf.DUMMYFUNCTION("""COMPUTED_VALUE"""),"4 days ago")</f>
        <v>4 days ago</v>
      </c>
      <c r="B33" s="7" t="str">
        <f>IFERROR(__xludf.DUMMYFUNCTION("""COMPUTED_VALUE"""),"Strategic Marketing Analyst (m/f/x)")</f>
        <v>Strategic Marketing Analyst (m/f/x)</v>
      </c>
      <c r="C33" s="7" t="str">
        <f>IFERROR(__xludf.DUMMYFUNCTION("""COMPUTED_VALUE"""),"Bonn")</f>
        <v>Bonn</v>
      </c>
      <c r="D33" s="7" t="str">
        <f>IFERROR(__xludf.DUMMYFUNCTION("""COMPUTED_VALUE"""),"DHL Supply Chain Management GmbH")</f>
        <v>DHL Supply Chain Management GmbH</v>
      </c>
      <c r="E33" s="7" t="str">
        <f>IFERROR(__xludf.DUMMYFUNCTION("""COMPUTED_VALUE"""),"NO SALARY DATA")</f>
        <v>NO SALARY DATA</v>
      </c>
      <c r="F33" s="7" t="str">
        <f>IFERROR(__xludf.DUMMYFUNCTION("""COMPUTED_VALUE"""),"No salary data")</f>
        <v>No salary data</v>
      </c>
      <c r="G33" s="7" t="str">
        <f>IFERROR(__xludf.DUMMYFUNCTION("""COMPUTED_VALUE"""),"Python, Tableau, Excel, Statistic")</f>
        <v>Python, Tableau, Excel, Statistic</v>
      </c>
      <c r="H33" s="7" t="str">
        <f>IFERROR(__xludf.DUMMYFUNCTION("""COMPUTED_VALUE"""),"No job type data")</f>
        <v>No job type data</v>
      </c>
      <c r="I33" s="7" t="str">
        <f>IFERROR(__xludf.DUMMYFUNCTION("""COMPUTED_VALUE"""),"3,7")</f>
        <v>3,7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 t="str">
        <f>IFERROR(__xludf.DUMMYFUNCTION("""COMPUTED_VALUE"""),"More than 30 days ago")</f>
        <v>More than 30 days ago</v>
      </c>
      <c r="B34" s="7" t="str">
        <f>IFERROR(__xludf.DUMMYFUNCTION("""COMPUTED_VALUE"""),"(Junior) Analytics Expert (m/f/d)")</f>
        <v>(Junior) Analytics Expert (m/f/d)</v>
      </c>
      <c r="C34" s="7" t="str">
        <f>IFERROR(__xludf.DUMMYFUNCTION("""COMPUTED_VALUE"""),"Bad Homburg vor der Höhe")</f>
        <v>Bad Homburg vor der Höhe</v>
      </c>
      <c r="D34" s="7" t="str">
        <f>IFERROR(__xludf.DUMMYFUNCTION("""COMPUTED_VALUE"""),"Fresenius Kabi")</f>
        <v>Fresenius Kabi</v>
      </c>
      <c r="E34" s="7" t="str">
        <f>IFERROR(__xludf.DUMMYFUNCTION("""COMPUTED_VALUE"""),"NO SALARY DATA")</f>
        <v>NO SALARY DATA</v>
      </c>
      <c r="F34" s="7" t="str">
        <f>IFERROR(__xludf.DUMMYFUNCTION("""COMPUTED_VALUE"""),"No salary data")</f>
        <v>No salary data</v>
      </c>
      <c r="G34" s="7" t="str">
        <f>IFERROR(__xludf.DUMMYFUNCTION("""COMPUTED_VALUE"""),"Python, SQL, Excel, Machine Learning")</f>
        <v>Python, SQL, Excel, Machine Learning</v>
      </c>
      <c r="H34" s="7" t="str">
        <f>IFERROR(__xludf.DUMMYFUNCTION("""COMPUTED_VALUE"""),"No job type data")</f>
        <v>No job type data</v>
      </c>
      <c r="I34" s="7" t="str">
        <f>IFERROR(__xludf.DUMMYFUNCTION("""COMPUTED_VALUE"""),"3,7")</f>
        <v>3,7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 t="str">
        <f>IFERROR(__xludf.DUMMYFUNCTION("""COMPUTED_VALUE"""),"More than 30 days ago")</f>
        <v>More than 30 days ago</v>
      </c>
      <c r="B35" s="7" t="str">
        <f>IFERROR(__xludf.DUMMYFUNCTION("""COMPUTED_VALUE"""),"Data Engineer - EU Workforce Staffing team")</f>
        <v>Data Engineer - EU Workforce Staffing team</v>
      </c>
      <c r="C35" s="7" t="str">
        <f>IFERROR(__xludf.DUMMYFUNCTION("""COMPUTED_VALUE"""),"Berlin")</f>
        <v>Berlin</v>
      </c>
      <c r="D35" s="7" t="str">
        <f>IFERROR(__xludf.DUMMYFUNCTION("""COMPUTED_VALUE"""),"Amazon Logistik Potsdam GmbH")</f>
        <v>Amazon Logistik Potsdam GmbH</v>
      </c>
      <c r="E35" s="7" t="str">
        <f>IFERROR(__xludf.DUMMYFUNCTION("""COMPUTED_VALUE"""),"NO SALARY DATA")</f>
        <v>NO SALARY DATA</v>
      </c>
      <c r="F35" s="7" t="str">
        <f>IFERROR(__xludf.DUMMYFUNCTION("""COMPUTED_VALUE"""),"No salary data")</f>
        <v>No salary data</v>
      </c>
      <c r="G35" s="7" t="str">
        <f>IFERROR(__xludf.DUMMYFUNCTION("""COMPUTED_VALUE"""),"Python, SQL, Excel, Deep Learning")</f>
        <v>Python, SQL, Excel, Deep Learning</v>
      </c>
      <c r="H35" s="7" t="str">
        <f>IFERROR(__xludf.DUMMYFUNCTION("""COMPUTED_VALUE"""),"No job type data")</f>
        <v>No job type data</v>
      </c>
      <c r="I35" s="7" t="str">
        <f>IFERROR(__xludf.DUMMYFUNCTION("""COMPUTED_VALUE"""),"3,6")</f>
        <v>3,6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 t="str">
        <f>IFERROR(__xludf.DUMMYFUNCTION("""COMPUTED_VALUE"""),"More than 30 days ago")</f>
        <v>More than 30 days ago</v>
      </c>
      <c r="B36" s="7" t="str">
        <f>IFERROR(__xludf.DUMMYFUNCTION("""COMPUTED_VALUE"""),"Junior Data Analyst*")</f>
        <v>Junior Data Analyst*</v>
      </c>
      <c r="C36" s="7" t="str">
        <f>IFERROR(__xludf.DUMMYFUNCTION("""COMPUTED_VALUE"""),"Karlsruhe")</f>
        <v>Karlsruhe</v>
      </c>
      <c r="D36" s="7" t="str">
        <f>IFERROR(__xludf.DUMMYFUNCTION("""COMPUTED_VALUE"""),"Gameforge")</f>
        <v>Gameforge</v>
      </c>
      <c r="E36" s="7" t="str">
        <f>IFERROR(__xludf.DUMMYFUNCTION("""COMPUTED_VALUE"""),"NO SALARY DATA")</f>
        <v>NO SALARY DATA</v>
      </c>
      <c r="F36" s="7" t="str">
        <f>IFERROR(__xludf.DUMMYFUNCTION("""COMPUTED_VALUE"""),"No salary data")</f>
        <v>No salary data</v>
      </c>
      <c r="G36" s="7" t="str">
        <f>IFERROR(__xludf.DUMMYFUNCTION("""COMPUTED_VALUE"""),"SQL, Excel, Git")</f>
        <v>SQL, Excel, Git</v>
      </c>
      <c r="H36" s="7" t="str">
        <f>IFERROR(__xludf.DUMMYFUNCTION("""COMPUTED_VALUE"""),"No job type data")</f>
        <v>No job type data</v>
      </c>
      <c r="I36" s="7" t="str">
        <f>IFERROR(__xludf.DUMMYFUNCTION("""COMPUTED_VALUE"""),"4,0")</f>
        <v>4,0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 t="str">
        <f>IFERROR(__xludf.DUMMYFUNCTION("""COMPUTED_VALUE"""),"More than 30 days ago")</f>
        <v>More than 30 days ago</v>
      </c>
      <c r="B37" s="7" t="str">
        <f>IFERROR(__xludf.DUMMYFUNCTION("""COMPUTED_VALUE"""),"Student worker Opportunities for Students in Germany: Softwa...")</f>
        <v>Student worker Opportunities for Students in Germany: Softwa...</v>
      </c>
      <c r="C37" s="7" t="str">
        <f>IFERROR(__xludf.DUMMYFUNCTION("""COMPUTED_VALUE"""),"München")</f>
        <v>München</v>
      </c>
      <c r="D37" s="7" t="str">
        <f>IFERROR(__xludf.DUMMYFUNCTION("""COMPUTED_VALUE"""),"Microsoft")</f>
        <v>Microsoft</v>
      </c>
      <c r="E37" s="7" t="str">
        <f>IFERROR(__xludf.DUMMYFUNCTION("""COMPUTED_VALUE"""),"NO SALARY DATA")</f>
        <v>NO SALARY DATA</v>
      </c>
      <c r="F37" s="7" t="str">
        <f>IFERROR(__xludf.DUMMYFUNCTION("""COMPUTED_VALUE"""),"No salary data")</f>
        <v>No salary data</v>
      </c>
      <c r="G37" s="7" t="str">
        <f>IFERROR(__xludf.DUMMYFUNCTION("""COMPUTED_VALUE"""),"Excel, Machine Learning")</f>
        <v>Excel, Machine Learning</v>
      </c>
      <c r="H37" s="7" t="str">
        <f>IFERROR(__xludf.DUMMYFUNCTION("""COMPUTED_VALUE"""),"No job type data")</f>
        <v>No job type data</v>
      </c>
      <c r="I37" s="7" t="str">
        <f>IFERROR(__xludf.DUMMYFUNCTION("""COMPUTED_VALUE"""),"4,2")</f>
        <v>4,2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 t="str">
        <f>IFERROR(__xludf.DUMMYFUNCTION("""COMPUTED_VALUE"""),"10 days ago")</f>
        <v>10 days ago</v>
      </c>
      <c r="B38" s="7" t="str">
        <f>IFERROR(__xludf.DUMMYFUNCTION("""COMPUTED_VALUE"""),"Platforms and Solutions Architect Research (f/m/d)")</f>
        <v>Platforms and Solutions Architect Research (f/m/d)</v>
      </c>
      <c r="C38" s="7" t="str">
        <f>IFERROR(__xludf.DUMMYFUNCTION("""COMPUTED_VALUE"""),"Hamburg")</f>
        <v>Hamburg</v>
      </c>
      <c r="D38" s="7" t="str">
        <f>IFERROR(__xludf.DUMMYFUNCTION("""COMPUTED_VALUE"""),"Philips")</f>
        <v>Philips</v>
      </c>
      <c r="E38" s="7" t="str">
        <f>IFERROR(__xludf.DUMMYFUNCTION("""COMPUTED_VALUE"""),"NO SALARY DATA")</f>
        <v>NO SALARY DATA</v>
      </c>
      <c r="F38" s="7" t="str">
        <f>IFERROR(__xludf.DUMMYFUNCTION("""COMPUTED_VALUE"""),"No salary data")</f>
        <v>No salary data</v>
      </c>
      <c r="G38" s="7" t="str">
        <f>IFERROR(__xludf.DUMMYFUNCTION("""COMPUTED_VALUE"""),"Python, Excel, Deep Learning, Git, Linux")</f>
        <v>Python, Excel, Deep Learning, Git, Linux</v>
      </c>
      <c r="H38" s="7" t="str">
        <f>IFERROR(__xludf.DUMMYFUNCTION("""COMPUTED_VALUE"""),"No job type data")</f>
        <v>No job type data</v>
      </c>
      <c r="I38" s="7" t="str">
        <f>IFERROR(__xludf.DUMMYFUNCTION("""COMPUTED_VALUE"""),"4,0")</f>
        <v>4,0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 t="str">
        <f>IFERROR(__xludf.DUMMYFUNCTION("""COMPUTED_VALUE"""),"4 days ago")</f>
        <v>4 days ago</v>
      </c>
      <c r="B39" s="7" t="str">
        <f>IFERROR(__xludf.DUMMYFUNCTION("""COMPUTED_VALUE"""),"Praktikum Data Analytics IT-Prozessmanagement")</f>
        <v>Praktikum Data Analytics IT-Prozessmanagement</v>
      </c>
      <c r="C39" s="7" t="str">
        <f>IFERROR(__xludf.DUMMYFUNCTION("""COMPUTED_VALUE"""),"Berlin")</f>
        <v>Berlin</v>
      </c>
      <c r="D39" s="7" t="str">
        <f>IFERROR(__xludf.DUMMYFUNCTION("""COMPUTED_VALUE"""),"FINMAS GmbH")</f>
        <v>FINMAS GmbH</v>
      </c>
      <c r="E39" s="7" t="str">
        <f>IFERROR(__xludf.DUMMYFUNCTION("""COMPUTED_VALUE"""),"NO SALARY DATA")</f>
        <v>NO SALARY DATA</v>
      </c>
      <c r="F39" s="7" t="str">
        <f>IFERROR(__xludf.DUMMYFUNCTION("""COMPUTED_VALUE"""),"No salary data")</f>
        <v>No salary data</v>
      </c>
      <c r="G39" s="7" t="str">
        <f>IFERROR(__xludf.DUMMYFUNCTION("""COMPUTED_VALUE"""),"Python, Excel, Git")</f>
        <v>Python, Excel, Git</v>
      </c>
      <c r="H39" s="7" t="str">
        <f>IFERROR(__xludf.DUMMYFUNCTION("""COMPUTED_VALUE"""),"No job type data")</f>
        <v>No job type data</v>
      </c>
      <c r="I39" s="7" t="str">
        <f>IFERROR(__xludf.DUMMYFUNCTION("""COMPUTED_VALUE"""),"5,0")</f>
        <v>5,0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 t="str">
        <f>IFERROR(__xludf.DUMMYFUNCTION("""COMPUTED_VALUE"""),"3 days ago")</f>
        <v>3 days ago</v>
      </c>
      <c r="B40" s="7" t="str">
        <f>IFERROR(__xludf.DUMMYFUNCTION("""COMPUTED_VALUE"""),"Internship - Digital Analytics &amp; Consumer Insights (m/f/d)")</f>
        <v>Internship - Digital Analytics &amp; Consumer Insights (m/f/d)</v>
      </c>
      <c r="C40" s="7" t="str">
        <f>IFERROR(__xludf.DUMMYFUNCTION("""COMPUTED_VALUE"""),"Herzogenaurach")</f>
        <v>Herzogenaurach</v>
      </c>
      <c r="D40" s="7" t="str">
        <f>IFERROR(__xludf.DUMMYFUNCTION("""COMPUTED_VALUE"""),"adidas")</f>
        <v>adidas</v>
      </c>
      <c r="E40" s="7" t="str">
        <f>IFERROR(__xludf.DUMMYFUNCTION("""COMPUTED_VALUE"""),"NO SALARY DATA")</f>
        <v>NO SALARY DATA</v>
      </c>
      <c r="F40" s="7" t="str">
        <f>IFERROR(__xludf.DUMMYFUNCTION("""COMPUTED_VALUE"""),"No salary data")</f>
        <v>No salary data</v>
      </c>
      <c r="G40" s="7" t="str">
        <f>IFERROR(__xludf.DUMMYFUNCTION("""COMPUTED_VALUE"""),"SQL, Tableau, Excel, Git")</f>
        <v>SQL, Tableau, Excel, Git</v>
      </c>
      <c r="H40" s="7" t="str">
        <f>IFERROR(__xludf.DUMMYFUNCTION("""COMPUTED_VALUE"""),"Internship")</f>
        <v>Internship</v>
      </c>
      <c r="I40" s="7" t="str">
        <f>IFERROR(__xludf.DUMMYFUNCTION("""COMPUTED_VALUE"""),"4,0")</f>
        <v>4,0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 t="str">
        <f>IFERROR(__xludf.DUMMYFUNCTION("""COMPUTED_VALUE"""),"3 days ago")</f>
        <v>3 days ago</v>
      </c>
      <c r="B41" s="7" t="str">
        <f>IFERROR(__xludf.DUMMYFUNCTION("""COMPUTED_VALUE"""),"Werkstudent (w/m/d) Data &amp; Analytics")</f>
        <v>Werkstudent (w/m/d) Data &amp; Analytics</v>
      </c>
      <c r="C41" s="7" t="str">
        <f>IFERROR(__xludf.DUMMYFUNCTION("""COMPUTED_VALUE"""),"Hamburg")</f>
        <v>Hamburg</v>
      </c>
      <c r="D41" s="7" t="str">
        <f>IFERROR(__xludf.DUMMYFUNCTION("""COMPUTED_VALUE"""),"adesso SE")</f>
        <v>adesso SE</v>
      </c>
      <c r="E41" s="7" t="str">
        <f>IFERROR(__xludf.DUMMYFUNCTION("""COMPUTED_VALUE"""),"NO SALARY DATA")</f>
        <v>NO SALARY DATA</v>
      </c>
      <c r="F41" s="7" t="str">
        <f>IFERROR(__xludf.DUMMYFUNCTION("""COMPUTED_VALUE"""),"No salary data")</f>
        <v>No salary data</v>
      </c>
      <c r="G41" s="7" t="str">
        <f>IFERROR(__xludf.DUMMYFUNCTION("""COMPUTED_VALUE"""),"Excel, Git")</f>
        <v>Excel, Git</v>
      </c>
      <c r="H41" s="7" t="str">
        <f>IFERROR(__xludf.DUMMYFUNCTION("""COMPUTED_VALUE"""),"No job type data")</f>
        <v>No job type data</v>
      </c>
      <c r="I41" s="7" t="str">
        <f>IFERROR(__xludf.DUMMYFUNCTION("""COMPUTED_VALUE"""),"1,7")</f>
        <v>1,7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 t="str">
        <f>IFERROR(__xludf.DUMMYFUNCTION("""COMPUTED_VALUE"""),"More than 30 days ago")</f>
        <v>More than 30 days ago</v>
      </c>
      <c r="B42" s="7" t="str">
        <f>IFERROR(__xludf.DUMMYFUNCTION("""COMPUTED_VALUE"""),"Daten Analyst &amp; Reporting Spezialist (m/w/d)")</f>
        <v>Daten Analyst &amp; Reporting Spezialist (m/w/d)</v>
      </c>
      <c r="C42" s="7" t="str">
        <f>IFERROR(__xludf.DUMMYFUNCTION("""COMPUTED_VALUE"""),"München")</f>
        <v>München</v>
      </c>
      <c r="D42" s="7" t="str">
        <f>IFERROR(__xludf.DUMMYFUNCTION("""COMPUTED_VALUE"""),"UniCredit Bank")</f>
        <v>UniCredit Bank</v>
      </c>
      <c r="E42" s="7" t="str">
        <f>IFERROR(__xludf.DUMMYFUNCTION("""COMPUTED_VALUE"""),"NO SALARY DATA")</f>
        <v>NO SALARY DATA</v>
      </c>
      <c r="F42" s="7" t="str">
        <f>IFERROR(__xludf.DUMMYFUNCTION("""COMPUTED_VALUE"""),"No salary data")</f>
        <v>No salary data</v>
      </c>
      <c r="G42" s="7" t="str">
        <f>IFERROR(__xludf.DUMMYFUNCTION("""COMPUTED_VALUE"""),"SQL, Tableau, Excel")</f>
        <v>SQL, Tableau, Excel</v>
      </c>
      <c r="H42" s="7" t="str">
        <f>IFERROR(__xludf.DUMMYFUNCTION("""COMPUTED_VALUE"""),"No job type data")</f>
        <v>No job type data</v>
      </c>
      <c r="I42" s="7" t="str">
        <f>IFERROR(__xludf.DUMMYFUNCTION("""COMPUTED_VALUE"""),"3,8")</f>
        <v>3,8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 t="str">
        <f>IFERROR(__xludf.DUMMYFUNCTION("""COMPUTED_VALUE"""),"More than 30 days ago")</f>
        <v>More than 30 days ago</v>
      </c>
      <c r="B43" s="7" t="str">
        <f>IFERROR(__xludf.DUMMYFUNCTION("""COMPUTED_VALUE"""),"Marketing Intelligence Analyst (m/w/d)")</f>
        <v>Marketing Intelligence Analyst (m/w/d)</v>
      </c>
      <c r="C43" s="7" t="str">
        <f>IFERROR(__xludf.DUMMYFUNCTION("""COMPUTED_VALUE"""),"Hamburg")</f>
        <v>Hamburg</v>
      </c>
      <c r="D43" s="7" t="str">
        <f>IFERROR(__xludf.DUMMYFUNCTION("""COMPUTED_VALUE"""),"IUBH Internationale Hochschule GmbH")</f>
        <v>IUBH Internationale Hochschule GmbH</v>
      </c>
      <c r="E43" s="7" t="str">
        <f>IFERROR(__xludf.DUMMYFUNCTION("""COMPUTED_VALUE"""),"NO SALARY DATA")</f>
        <v>NO SALARY DATA</v>
      </c>
      <c r="F43" s="7" t="str">
        <f>IFERROR(__xludf.DUMMYFUNCTION("""COMPUTED_VALUE"""),"No salary data")</f>
        <v>No salary data</v>
      </c>
      <c r="G43" s="7" t="str">
        <f>IFERROR(__xludf.DUMMYFUNCTION("""COMPUTED_VALUE"""),"Python, SQL, Tableau, Excel")</f>
        <v>Python, SQL, Tableau, Excel</v>
      </c>
      <c r="H43" s="7" t="str">
        <f>IFERROR(__xludf.DUMMYFUNCTION("""COMPUTED_VALUE"""),"No job type data")</f>
        <v>No job type data</v>
      </c>
      <c r="I43" s="7" t="str">
        <f>IFERROR(__xludf.DUMMYFUNCTION("""COMPUTED_VALUE"""),"4,3")</f>
        <v>4,3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 t="str">
        <f>IFERROR(__xludf.DUMMYFUNCTION("""COMPUTED_VALUE"""),"12 days ago")</f>
        <v>12 days ago</v>
      </c>
      <c r="B44" s="7" t="str">
        <f>IFERROR(__xludf.DUMMYFUNCTION("""COMPUTED_VALUE"""),"BI &amp; Data Analytics Solution Architect (f/m/d)")</f>
        <v>BI &amp; Data Analytics Solution Architect (f/m/d)</v>
      </c>
      <c r="C44" s="7" t="str">
        <f>IFERROR(__xludf.DUMMYFUNCTION("""COMPUTED_VALUE"""),"Hamburg")</f>
        <v>Hamburg</v>
      </c>
      <c r="D44" s="7" t="str">
        <f>IFERROR(__xludf.DUMMYFUNCTION("""COMPUTED_VALUE"""),"Aquila Capital")</f>
        <v>Aquila Capital</v>
      </c>
      <c r="E44" s="7" t="str">
        <f>IFERROR(__xludf.DUMMYFUNCTION("""COMPUTED_VALUE"""),"NO SALARY DATA")</f>
        <v>NO SALARY DATA</v>
      </c>
      <c r="F44" s="7" t="str">
        <f>IFERROR(__xludf.DUMMYFUNCTION("""COMPUTED_VALUE"""),"No salary data")</f>
        <v>No salary data</v>
      </c>
      <c r="G44" s="7" t="str">
        <f>IFERROR(__xludf.DUMMYFUNCTION("""COMPUTED_VALUE"""),"Python, SQL, Excel, Machine Learning")</f>
        <v>Python, SQL, Excel, Machine Learning</v>
      </c>
      <c r="H44" s="7" t="str">
        <f>IFERROR(__xludf.DUMMYFUNCTION("""COMPUTED_VALUE"""),"No job type data")</f>
        <v>No job type data</v>
      </c>
      <c r="I44" s="7" t="str">
        <f>IFERROR(__xludf.DUMMYFUNCTION("""COMPUTED_VALUE"""),"3,0")</f>
        <v>3,0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 t="str">
        <f>IFERROR(__xludf.DUMMYFUNCTION("""COMPUTED_VALUE"""),"17 days ago")</f>
        <v>17 days ago</v>
      </c>
      <c r="B45" s="7" t="str">
        <f>IFERROR(__xludf.DUMMYFUNCTION("""COMPUTED_VALUE"""),"Praktikant (m/w/d) für 6 Monate im Bereich Business Intellig...")</f>
        <v>Praktikant (m/w/d) für 6 Monate im Bereich Business Intellig...</v>
      </c>
      <c r="C45" s="7" t="str">
        <f>IFERROR(__xludf.DUMMYFUNCTION("""COMPUTED_VALUE"""),"München")</f>
        <v>München</v>
      </c>
      <c r="D45" s="7" t="str">
        <f>IFERROR(__xludf.DUMMYFUNCTION("""COMPUTED_VALUE"""),"Allianz Private Krankenversicherungs-AG")</f>
        <v>Allianz Private Krankenversicherungs-AG</v>
      </c>
      <c r="E45" s="7" t="str">
        <f>IFERROR(__xludf.DUMMYFUNCTION("""COMPUTED_VALUE"""),"NO SALARY DATA")</f>
        <v>NO SALARY DATA</v>
      </c>
      <c r="F45" s="7" t="str">
        <f>IFERROR(__xludf.DUMMYFUNCTION("""COMPUTED_VALUE"""),"No salary data")</f>
        <v>No salary data</v>
      </c>
      <c r="G45" s="7" t="str">
        <f>IFERROR(__xludf.DUMMYFUNCTION("""COMPUTED_VALUE"""),"SQL, Excel, Git")</f>
        <v>SQL, Excel, Git</v>
      </c>
      <c r="H45" s="7" t="str">
        <f>IFERROR(__xludf.DUMMYFUNCTION("""COMPUTED_VALUE"""),"No job type data")</f>
        <v>No job type data</v>
      </c>
      <c r="I45" s="7" t="str">
        <f>IFERROR(__xludf.DUMMYFUNCTION("""COMPUTED_VALUE"""),"3,9")</f>
        <v>3,9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 t="str">
        <f>IFERROR(__xludf.DUMMYFUNCTION("""COMPUTED_VALUE"""),"today")</f>
        <v>today</v>
      </c>
      <c r="B46" s="7" t="str">
        <f>IFERROR(__xludf.DUMMYFUNCTION("""COMPUTED_VALUE"""),"BCG Omnia - Topic Analyst, Financial Institutions")</f>
        <v>BCG Omnia - Topic Analyst, Financial Institutions</v>
      </c>
      <c r="C46" s="7" t="str">
        <f>IFERROR(__xludf.DUMMYFUNCTION("""COMPUTED_VALUE"""),"Frankfurt am Main")</f>
        <v>Frankfurt am Main</v>
      </c>
      <c r="D46" s="7" t="str">
        <f>IFERROR(__xludf.DUMMYFUNCTION("""COMPUTED_VALUE"""),"The Boston Consulting Group")</f>
        <v>The Boston Consulting Group</v>
      </c>
      <c r="E46" s="7" t="str">
        <f>IFERROR(__xludf.DUMMYFUNCTION("""COMPUTED_VALUE"""),"NO SALARY DATA")</f>
        <v>NO SALARY DATA</v>
      </c>
      <c r="F46" s="7" t="str">
        <f>IFERROR(__xludf.DUMMYFUNCTION("""COMPUTED_VALUE"""),"No salary data")</f>
        <v>No salary data</v>
      </c>
      <c r="G46" s="7" t="str">
        <f>IFERROR(__xludf.DUMMYFUNCTION("""COMPUTED_VALUE"""),"Python, SQL, Tableau, Excel, Statistic, Git")</f>
        <v>Python, SQL, Tableau, Excel, Statistic, Git</v>
      </c>
      <c r="H46" s="7" t="str">
        <f>IFERROR(__xludf.DUMMYFUNCTION("""COMPUTED_VALUE"""),"Internship")</f>
        <v>Internship</v>
      </c>
      <c r="I46" s="7" t="str">
        <f>IFERROR(__xludf.DUMMYFUNCTION("""COMPUTED_VALUE"""),"4,2")</f>
        <v>4,2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 t="str">
        <f>IFERROR(__xludf.DUMMYFUNCTION("""COMPUTED_VALUE"""),"3 days ago")</f>
        <v>3 days ago</v>
      </c>
      <c r="B47" s="7" t="str">
        <f>IFERROR(__xludf.DUMMYFUNCTION("""COMPUTED_VALUE"""),"Werkstudent (w/m/d) Data &amp; Analytics")</f>
        <v>Werkstudent (w/m/d) Data &amp; Analytics</v>
      </c>
      <c r="C47" s="7" t="str">
        <f>IFERROR(__xludf.DUMMYFUNCTION("""COMPUTED_VALUE"""),"Köln")</f>
        <v>Köln</v>
      </c>
      <c r="D47" s="7" t="str">
        <f>IFERROR(__xludf.DUMMYFUNCTION("""COMPUTED_VALUE"""),"adesso SE")</f>
        <v>adesso SE</v>
      </c>
      <c r="E47" s="7" t="str">
        <f>IFERROR(__xludf.DUMMYFUNCTION("""COMPUTED_VALUE"""),"NO SALARY DATA")</f>
        <v>NO SALARY DATA</v>
      </c>
      <c r="F47" s="7" t="str">
        <f>IFERROR(__xludf.DUMMYFUNCTION("""COMPUTED_VALUE"""),"No salary data")</f>
        <v>No salary data</v>
      </c>
      <c r="G47" s="7" t="str">
        <f>IFERROR(__xludf.DUMMYFUNCTION("""COMPUTED_VALUE"""),"Excel, Git")</f>
        <v>Excel, Git</v>
      </c>
      <c r="H47" s="7" t="str">
        <f>IFERROR(__xludf.DUMMYFUNCTION("""COMPUTED_VALUE"""),"No job type data")</f>
        <v>No job type data</v>
      </c>
      <c r="I47" s="7" t="str">
        <f>IFERROR(__xludf.DUMMYFUNCTION("""COMPUTED_VALUE"""),"1,7")</f>
        <v>1,7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 t="str">
        <f>IFERROR(__xludf.DUMMYFUNCTION("""COMPUTED_VALUE"""),"More than 30 days ago")</f>
        <v>More than 30 days ago</v>
      </c>
      <c r="B48" s="7" t="str">
        <f>IFERROR(__xludf.DUMMYFUNCTION("""COMPUTED_VALUE"""),"Database Developer")</f>
        <v>Database Developer</v>
      </c>
      <c r="C48" s="7" t="str">
        <f>IFERROR(__xludf.DUMMYFUNCTION("""COMPUTED_VALUE"""),"Köln")</f>
        <v>Köln</v>
      </c>
      <c r="D48" s="7" t="str">
        <f>IFERROR(__xludf.DUMMYFUNCTION("""COMPUTED_VALUE"""),"Serco Europe")</f>
        <v>Serco Europe</v>
      </c>
      <c r="E48" s="7" t="str">
        <f>IFERROR(__xludf.DUMMYFUNCTION("""COMPUTED_VALUE"""),"NO SALARY DATA")</f>
        <v>NO SALARY DATA</v>
      </c>
      <c r="F48" s="7" t="str">
        <f>IFERROR(__xludf.DUMMYFUNCTION("""COMPUTED_VALUE"""),"No salary data")</f>
        <v>No salary data</v>
      </c>
      <c r="G48" s="7" t="str">
        <f>IFERROR(__xludf.DUMMYFUNCTION("""COMPUTED_VALUE"""),"SQL, Excel, Agile")</f>
        <v>SQL, Excel, Agile</v>
      </c>
      <c r="H48" s="7" t="str">
        <f>IFERROR(__xludf.DUMMYFUNCTION("""COMPUTED_VALUE"""),"Contract")</f>
        <v>Contract</v>
      </c>
      <c r="I48" s="7" t="str">
        <f>IFERROR(__xludf.DUMMYFUNCTION("""COMPUTED_VALUE"""),"3,5")</f>
        <v>3,5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 t="str">
        <f>IFERROR(__xludf.DUMMYFUNCTION("""COMPUTED_VALUE"""),"More than 30 days ago")</f>
        <v>More than 30 days ago</v>
      </c>
      <c r="B49" s="7" t="str">
        <f>IFERROR(__xludf.DUMMYFUNCTION("""COMPUTED_VALUE"""),"Data Science Consultant")</f>
        <v>Data Science Consultant</v>
      </c>
      <c r="C49" s="7" t="str">
        <f>IFERROR(__xludf.DUMMYFUNCTION("""COMPUTED_VALUE"""),"München")</f>
        <v>München</v>
      </c>
      <c r="D49" s="7" t="str">
        <f>IFERROR(__xludf.DUMMYFUNCTION("""COMPUTED_VALUE"""),"Munich Re")</f>
        <v>Munich Re</v>
      </c>
      <c r="E49" s="7" t="str">
        <f>IFERROR(__xludf.DUMMYFUNCTION("""COMPUTED_VALUE"""),"NO SALARY DATA")</f>
        <v>NO SALARY DATA</v>
      </c>
      <c r="F49" s="7" t="str">
        <f>IFERROR(__xludf.DUMMYFUNCTION("""COMPUTED_VALUE"""),"No salary data")</f>
        <v>No salary data</v>
      </c>
      <c r="G49" s="7" t="str">
        <f>IFERROR(__xludf.DUMMYFUNCTION("""COMPUTED_VALUE"""),"Python, SQL, Excel, Machine Learning, Statistic")</f>
        <v>Python, SQL, Excel, Machine Learning, Statistic</v>
      </c>
      <c r="H49" s="7" t="str">
        <f>IFERROR(__xludf.DUMMYFUNCTION("""COMPUTED_VALUE"""),"No job type data")</f>
        <v>No job type data</v>
      </c>
      <c r="I49" s="7" t="str">
        <f>IFERROR(__xludf.DUMMYFUNCTION("""COMPUTED_VALUE"""),"4,0")</f>
        <v>4,0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 t="str">
        <f>IFERROR(__xludf.DUMMYFUNCTION("""COMPUTED_VALUE"""),"More than 30 days ago")</f>
        <v>More than 30 days ago</v>
      </c>
      <c r="B50" s="7" t="str">
        <f>IFERROR(__xludf.DUMMYFUNCTION("""COMPUTED_VALUE"""),"(Junior) Analytics Expert (m/f/d)")</f>
        <v>(Junior) Analytics Expert (m/f/d)</v>
      </c>
      <c r="C50" s="7" t="str">
        <f>IFERROR(__xludf.DUMMYFUNCTION("""COMPUTED_VALUE"""),"Bad Homburg vor der Höhe")</f>
        <v>Bad Homburg vor der Höhe</v>
      </c>
      <c r="D50" s="7" t="str">
        <f>IFERROR(__xludf.DUMMYFUNCTION("""COMPUTED_VALUE"""),"Fresenius Kabi")</f>
        <v>Fresenius Kabi</v>
      </c>
      <c r="E50" s="7" t="str">
        <f>IFERROR(__xludf.DUMMYFUNCTION("""COMPUTED_VALUE"""),"NO SALARY DATA")</f>
        <v>NO SALARY DATA</v>
      </c>
      <c r="F50" s="7" t="str">
        <f>IFERROR(__xludf.DUMMYFUNCTION("""COMPUTED_VALUE"""),"No salary data")</f>
        <v>No salary data</v>
      </c>
      <c r="G50" s="7" t="str">
        <f>IFERROR(__xludf.DUMMYFUNCTION("""COMPUTED_VALUE"""),"Python, SQL, Excel, Machine Learning")</f>
        <v>Python, SQL, Excel, Machine Learning</v>
      </c>
      <c r="H50" s="7" t="str">
        <f>IFERROR(__xludf.DUMMYFUNCTION("""COMPUTED_VALUE"""),"No job type data")</f>
        <v>No job type data</v>
      </c>
      <c r="I50" s="7" t="str">
        <f>IFERROR(__xludf.DUMMYFUNCTION("""COMPUTED_VALUE"""),"3,7")</f>
        <v>3,7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 t="str">
        <f>IFERROR(__xludf.DUMMYFUNCTION("""COMPUTED_VALUE"""),"More than 30 days ago")</f>
        <v>More than 30 days ago</v>
      </c>
      <c r="B51" s="7" t="str">
        <f>IFERROR(__xludf.DUMMYFUNCTION("""COMPUTED_VALUE"""),"Praktikum Data Analytics (d/m/w)")</f>
        <v>Praktikum Data Analytics (d/m/w)</v>
      </c>
      <c r="C51" s="7" t="str">
        <f>IFERROR(__xludf.DUMMYFUNCTION("""COMPUTED_VALUE"""),"Berlin")</f>
        <v>Berlin</v>
      </c>
      <c r="D51" s="7" t="str">
        <f>IFERROR(__xludf.DUMMYFUNCTION("""COMPUTED_VALUE"""),"AUTO1")</f>
        <v>AUTO1</v>
      </c>
      <c r="E51" s="7" t="str">
        <f>IFERROR(__xludf.DUMMYFUNCTION("""COMPUTED_VALUE"""),"NO SALARY DATA")</f>
        <v>NO SALARY DATA</v>
      </c>
      <c r="F51" s="7" t="str">
        <f>IFERROR(__xludf.DUMMYFUNCTION("""COMPUTED_VALUE"""),"No salary data")</f>
        <v>No salary data</v>
      </c>
      <c r="G51" s="7" t="str">
        <f>IFERROR(__xludf.DUMMYFUNCTION("""COMPUTED_VALUE"""),"Python, SQL, Google Sheets, Git")</f>
        <v>Python, SQL, Google Sheets, Git</v>
      </c>
      <c r="H51" s="7" t="str">
        <f>IFERROR(__xludf.DUMMYFUNCTION("""COMPUTED_VALUE"""),"No job type data")</f>
        <v>No job type data</v>
      </c>
      <c r="I51" s="7" t="str">
        <f>IFERROR(__xludf.DUMMYFUNCTION("""COMPUTED_VALUE"""),"3,1")</f>
        <v>3,1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 t="str">
        <f>IFERROR(__xludf.DUMMYFUNCTION("""COMPUTED_VALUE"""),"More than 30 days ago")</f>
        <v>More than 30 days ago</v>
      </c>
      <c r="B52" s="7" t="str">
        <f>IFERROR(__xludf.DUMMYFUNCTION("""COMPUTED_VALUE"""),"Business Intelligence Engineer")</f>
        <v>Business Intelligence Engineer</v>
      </c>
      <c r="C52" s="7" t="str">
        <f>IFERROR(__xludf.DUMMYFUNCTION("""COMPUTED_VALUE"""),"Berlin")</f>
        <v>Berlin</v>
      </c>
      <c r="D52" s="7" t="str">
        <f>IFERROR(__xludf.DUMMYFUNCTION("""COMPUTED_VALUE"""),"Amazon EU SARL(Germany Branch)")</f>
        <v>Amazon EU SARL(Germany Branch)</v>
      </c>
      <c r="E52" s="7" t="str">
        <f>IFERROR(__xludf.DUMMYFUNCTION("""COMPUTED_VALUE"""),"NO SALARY DATA")</f>
        <v>NO SALARY DATA</v>
      </c>
      <c r="F52" s="7" t="str">
        <f>IFERROR(__xludf.DUMMYFUNCTION("""COMPUTED_VALUE"""),"No salary data")</f>
        <v>No salary data</v>
      </c>
      <c r="G52" s="7" t="str">
        <f>IFERROR(__xludf.DUMMYFUNCTION("""COMPUTED_VALUE"""),"Python, SQL, Excel")</f>
        <v>Python, SQL, Excel</v>
      </c>
      <c r="H52" s="7" t="str">
        <f>IFERROR(__xludf.DUMMYFUNCTION("""COMPUTED_VALUE"""),"No job type data")</f>
        <v>No job type data</v>
      </c>
      <c r="I52" s="7" t="str">
        <f>IFERROR(__xludf.DUMMYFUNCTION("""COMPUTED_VALUE"""),"3,6")</f>
        <v>3,6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 t="str">
        <f>IFERROR(__xludf.DUMMYFUNCTION("""COMPUTED_VALUE"""),"More than 30 days ago")</f>
        <v>More than 30 days ago</v>
      </c>
      <c r="B53" s="7" t="str">
        <f>IFERROR(__xludf.DUMMYFUNCTION("""COMPUTED_VALUE"""),"International Access Point, Business Intelligence Engineer")</f>
        <v>International Access Point, Business Intelligence Engineer</v>
      </c>
      <c r="C53" s="7" t="str">
        <f>IFERROR(__xludf.DUMMYFUNCTION("""COMPUTED_VALUE"""),"Berlin")</f>
        <v>Berlin</v>
      </c>
      <c r="D53" s="7" t="str">
        <f>IFERROR(__xludf.DUMMYFUNCTION("""COMPUTED_VALUE"""),"Amazon EU SARL(Germany Branch)")</f>
        <v>Amazon EU SARL(Germany Branch)</v>
      </c>
      <c r="E53" s="7" t="str">
        <f>IFERROR(__xludf.DUMMYFUNCTION("""COMPUTED_VALUE"""),"NO SALARY DATA")</f>
        <v>NO SALARY DATA</v>
      </c>
      <c r="F53" s="7" t="str">
        <f>IFERROR(__xludf.DUMMYFUNCTION("""COMPUTED_VALUE"""),"No salary data")</f>
        <v>No salary data</v>
      </c>
      <c r="G53" s="7" t="str">
        <f>IFERROR(__xludf.DUMMYFUNCTION("""COMPUTED_VALUE"""),"Python, SQL, Tableau, Excel, Statistic")</f>
        <v>Python, SQL, Tableau, Excel, Statistic</v>
      </c>
      <c r="H53" s="7" t="str">
        <f>IFERROR(__xludf.DUMMYFUNCTION("""COMPUTED_VALUE"""),"No job type data")</f>
        <v>No job type data</v>
      </c>
      <c r="I53" s="7" t="str">
        <f>IFERROR(__xludf.DUMMYFUNCTION("""COMPUTED_VALUE"""),"3,6")</f>
        <v>3,6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 t="str">
        <f>IFERROR(__xludf.DUMMYFUNCTION("""COMPUTED_VALUE"""),"More than 30 days ago")</f>
        <v>More than 30 days ago</v>
      </c>
      <c r="B54" s="7" t="str">
        <f>IFERROR(__xludf.DUMMYFUNCTION("""COMPUTED_VALUE"""),"Data Analyst mit Schwerpunkt Logistik (m/w/d)")</f>
        <v>Data Analyst mit Schwerpunkt Logistik (m/w/d)</v>
      </c>
      <c r="C54" s="7" t="str">
        <f>IFERROR(__xludf.DUMMYFUNCTION("""COMPUTED_VALUE"""),"Würzburg")</f>
        <v>Würzburg</v>
      </c>
      <c r="D54" s="7" t="str">
        <f>IFERROR(__xludf.DUMMYFUNCTION("""COMPUTED_VALUE"""),"XXXLutz")</f>
        <v>XXXLutz</v>
      </c>
      <c r="E54" s="7" t="str">
        <f>IFERROR(__xludf.DUMMYFUNCTION("""COMPUTED_VALUE"""),"NO SALARY DATA")</f>
        <v>NO SALARY DATA</v>
      </c>
      <c r="F54" s="7" t="str">
        <f>IFERROR(__xludf.DUMMYFUNCTION("""COMPUTED_VALUE"""),"No salary data")</f>
        <v>No salary data</v>
      </c>
      <c r="G54" s="7" t="str">
        <f>IFERROR(__xludf.DUMMYFUNCTION("""COMPUTED_VALUE"""),"SQL, Tableau, Excel")</f>
        <v>SQL, Tableau, Excel</v>
      </c>
      <c r="H54" s="7" t="str">
        <f>IFERROR(__xludf.DUMMYFUNCTION("""COMPUTED_VALUE"""),"No job type data")</f>
        <v>No job type data</v>
      </c>
      <c r="I54" s="7" t="str">
        <f>IFERROR(__xludf.DUMMYFUNCTION("""COMPUTED_VALUE"""),"2,9")</f>
        <v>2,9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 t="str">
        <f>IFERROR(__xludf.DUMMYFUNCTION("""COMPUTED_VALUE"""),"16 days ago")</f>
        <v>16 days ago</v>
      </c>
      <c r="B55" s="7" t="str">
        <f>IFERROR(__xludf.DUMMYFUNCTION("""COMPUTED_VALUE"""),"Praktikant Predictive Excellence Solutions und Data Science...")</f>
        <v>Praktikant Predictive Excellence Solutions und Data Science...</v>
      </c>
      <c r="C55" s="7" t="str">
        <f>IFERROR(__xludf.DUMMYFUNCTION("""COMPUTED_VALUE"""),"Deutschland")</f>
        <v>Deutschland</v>
      </c>
      <c r="D55" s="7" t="str">
        <f>IFERROR(__xludf.DUMMYFUNCTION("""COMPUTED_VALUE"""),"PwC")</f>
        <v>PwC</v>
      </c>
      <c r="E55" s="7" t="str">
        <f>IFERROR(__xludf.DUMMYFUNCTION("""COMPUTED_VALUE"""),"NO SALARY DATA")</f>
        <v>NO SALARY DATA</v>
      </c>
      <c r="F55" s="7" t="str">
        <f>IFERROR(__xludf.DUMMYFUNCTION("""COMPUTED_VALUE"""),"No salary data")</f>
        <v>No salary data</v>
      </c>
      <c r="G55" s="7" t="str">
        <f>IFERROR(__xludf.DUMMYFUNCTION("""COMPUTED_VALUE"""),"Python, SQL, Excel, Machine Learning")</f>
        <v>Python, SQL, Excel, Machine Learning</v>
      </c>
      <c r="H55" s="7" t="str">
        <f>IFERROR(__xludf.DUMMYFUNCTION("""COMPUTED_VALUE"""),"No job type data")</f>
        <v>No job type data</v>
      </c>
      <c r="I55" s="7" t="str">
        <f>IFERROR(__xludf.DUMMYFUNCTION("""COMPUTED_VALUE"""),"4,0")</f>
        <v>4,0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 t="str">
        <f>IFERROR(__xludf.DUMMYFUNCTION("""COMPUTED_VALUE"""),"More than 30 days ago")</f>
        <v>More than 30 days ago</v>
      </c>
      <c r="B56" s="7" t="str">
        <f>IFERROR(__xludf.DUMMYFUNCTION("""COMPUTED_VALUE"""),"Data Engineer (m/f/x) at CyberSolutions")</f>
        <v>Data Engineer (m/f/x) at CyberSolutions</v>
      </c>
      <c r="C56" s="7" t="str">
        <f>IFERROR(__xludf.DUMMYFUNCTION("""COMPUTED_VALUE"""),"München")</f>
        <v>München</v>
      </c>
      <c r="D56" s="7" t="str">
        <f>IFERROR(__xludf.DUMMYFUNCTION("""COMPUTED_VALUE"""),"Hubert Burda Media")</f>
        <v>Hubert Burda Media</v>
      </c>
      <c r="E56" s="7" t="str">
        <f>IFERROR(__xludf.DUMMYFUNCTION("""COMPUTED_VALUE"""),"NO SALARY DATA")</f>
        <v>NO SALARY DATA</v>
      </c>
      <c r="F56" s="7" t="str">
        <f>IFERROR(__xludf.DUMMYFUNCTION("""COMPUTED_VALUE"""),"No salary data")</f>
        <v>No salary data</v>
      </c>
      <c r="G56" s="7" t="str">
        <f>IFERROR(__xludf.DUMMYFUNCTION("""COMPUTED_VALUE"""),"SQL, Excel")</f>
        <v>SQL, Excel</v>
      </c>
      <c r="H56" s="7" t="str">
        <f>IFERROR(__xludf.DUMMYFUNCTION("""COMPUTED_VALUE"""),"No job type data")</f>
        <v>No job type data</v>
      </c>
      <c r="I56" s="7" t="str">
        <f>IFERROR(__xludf.DUMMYFUNCTION("""COMPUTED_VALUE"""),"4,1")</f>
        <v>4,1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 t="str">
        <f>IFERROR(__xludf.DUMMYFUNCTION("""COMPUTED_VALUE"""),"More than 30 days ago")</f>
        <v>More than 30 days ago</v>
      </c>
      <c r="B57" s="7" t="str">
        <f>IFERROR(__xludf.DUMMYFUNCTION("""COMPUTED_VALUE"""),"EU Employee Relations Data Analyst")</f>
        <v>EU Employee Relations Data Analyst</v>
      </c>
      <c r="C57" s="7" t="str">
        <f>IFERROR(__xludf.DUMMYFUNCTION("""COMPUTED_VALUE"""),"München")</f>
        <v>München</v>
      </c>
      <c r="D57" s="7" t="str">
        <f>IFERROR(__xludf.DUMMYFUNCTION("""COMPUTED_VALUE"""),"Amazon Deutschland Trans GmbH")</f>
        <v>Amazon Deutschland Trans GmbH</v>
      </c>
      <c r="E57" s="7" t="str">
        <f>IFERROR(__xludf.DUMMYFUNCTION("""COMPUTED_VALUE"""),"NO SALARY DATA")</f>
        <v>NO SALARY DATA</v>
      </c>
      <c r="F57" s="7" t="str">
        <f>IFERROR(__xludf.DUMMYFUNCTION("""COMPUTED_VALUE"""),"No salary data")</f>
        <v>No salary data</v>
      </c>
      <c r="G57" s="7" t="str">
        <f>IFERROR(__xludf.DUMMYFUNCTION("""COMPUTED_VALUE"""),"Tableau, Excel, Statistic")</f>
        <v>Tableau, Excel, Statistic</v>
      </c>
      <c r="H57" s="7" t="str">
        <f>IFERROR(__xludf.DUMMYFUNCTION("""COMPUTED_VALUE"""),"Full-Time")</f>
        <v>Full-Time</v>
      </c>
      <c r="I57" s="7" t="str">
        <f>IFERROR(__xludf.DUMMYFUNCTION("""COMPUTED_VALUE"""),"3,6")</f>
        <v>3,6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 t="str">
        <f>IFERROR(__xludf.DUMMYFUNCTION("""COMPUTED_VALUE"""),"More than 30 days ago")</f>
        <v>More than 30 days ago</v>
      </c>
      <c r="B58" s="7" t="str">
        <f>IFERROR(__xludf.DUMMYFUNCTION("""COMPUTED_VALUE"""),"Data Engineer (m/f/d)")</f>
        <v>Data Engineer (m/f/d)</v>
      </c>
      <c r="C58" s="7" t="str">
        <f>IFERROR(__xludf.DUMMYFUNCTION("""COMPUTED_VALUE"""),"Berlin")</f>
        <v>Berlin</v>
      </c>
      <c r="D58" s="7" t="str">
        <f>IFERROR(__xludf.DUMMYFUNCTION("""COMPUTED_VALUE"""),"Bayer")</f>
        <v>Bayer</v>
      </c>
      <c r="E58" s="7" t="str">
        <f>IFERROR(__xludf.DUMMYFUNCTION("""COMPUTED_VALUE"""),"NO SALARY DATA")</f>
        <v>NO SALARY DATA</v>
      </c>
      <c r="F58" s="7" t="str">
        <f>IFERROR(__xludf.DUMMYFUNCTION("""COMPUTED_VALUE"""),"No salary data")</f>
        <v>No salary data</v>
      </c>
      <c r="G58" s="7" t="str">
        <f>IFERROR(__xludf.DUMMYFUNCTION("""COMPUTED_VALUE"""),"Python, SQL, Excel, Machine Learning")</f>
        <v>Python, SQL, Excel, Machine Learning</v>
      </c>
      <c r="H58" s="7" t="str">
        <f>IFERROR(__xludf.DUMMYFUNCTION("""COMPUTED_VALUE"""),"Permanent")</f>
        <v>Permanent</v>
      </c>
      <c r="I58" s="7" t="str">
        <f>IFERROR(__xludf.DUMMYFUNCTION("""COMPUTED_VALUE"""),"4,2")</f>
        <v>4,2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 t="str">
        <f>IFERROR(__xludf.DUMMYFUNCTION("""COMPUTED_VALUE"""),"21 days ago")</f>
        <v>21 days ago</v>
      </c>
      <c r="B59" s="7" t="str">
        <f>IFERROR(__xludf.DUMMYFUNCTION("""COMPUTED_VALUE"""),"Full-time opportunities for students &amp; recent graduates: Tec...")</f>
        <v>Full-time opportunities for students &amp; recent graduates: Tec...</v>
      </c>
      <c r="C59" s="7" t="str">
        <f>IFERROR(__xludf.DUMMYFUNCTION("""COMPUTED_VALUE"""),"München")</f>
        <v>München</v>
      </c>
      <c r="D59" s="7" t="str">
        <f>IFERROR(__xludf.DUMMYFUNCTION("""COMPUTED_VALUE"""),"Microsoft")</f>
        <v>Microsoft</v>
      </c>
      <c r="E59" s="7" t="str">
        <f>IFERROR(__xludf.DUMMYFUNCTION("""COMPUTED_VALUE"""),"NO SALARY DATA")</f>
        <v>NO SALARY DATA</v>
      </c>
      <c r="F59" s="7" t="str">
        <f>IFERROR(__xludf.DUMMYFUNCTION("""COMPUTED_VALUE"""),"No salary data")</f>
        <v>No salary data</v>
      </c>
      <c r="G59" s="7" t="str">
        <f>IFERROR(__xludf.DUMMYFUNCTION("""COMPUTED_VALUE"""),"Excel, Machine Learning, Git")</f>
        <v>Excel, Machine Learning, Git</v>
      </c>
      <c r="H59" s="7" t="str">
        <f>IFERROR(__xludf.DUMMYFUNCTION("""COMPUTED_VALUE"""),"Contract")</f>
        <v>Contract</v>
      </c>
      <c r="I59" s="7" t="str">
        <f>IFERROR(__xludf.DUMMYFUNCTION("""COMPUTED_VALUE"""),"4,2")</f>
        <v>4,2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 t="str">
        <f>IFERROR(__xludf.DUMMYFUNCTION("""COMPUTED_VALUE"""),"More than 30 days ago")</f>
        <v>More than 30 days ago</v>
      </c>
      <c r="B60" s="7" t="str">
        <f>IFERROR(__xludf.DUMMYFUNCTION("""COMPUTED_VALUE"""),"Praktikum Data Analytics (d/m/w)")</f>
        <v>Praktikum Data Analytics (d/m/w)</v>
      </c>
      <c r="C60" s="7" t="str">
        <f>IFERROR(__xludf.DUMMYFUNCTION("""COMPUTED_VALUE"""),"Berlin")</f>
        <v>Berlin</v>
      </c>
      <c r="D60" s="7" t="str">
        <f>IFERROR(__xludf.DUMMYFUNCTION("""COMPUTED_VALUE"""),"AUTO1")</f>
        <v>AUTO1</v>
      </c>
      <c r="E60" s="7" t="str">
        <f>IFERROR(__xludf.DUMMYFUNCTION("""COMPUTED_VALUE"""),"NO SALARY DATA")</f>
        <v>NO SALARY DATA</v>
      </c>
      <c r="F60" s="7" t="str">
        <f>IFERROR(__xludf.DUMMYFUNCTION("""COMPUTED_VALUE"""),"No salary data")</f>
        <v>No salary data</v>
      </c>
      <c r="G60" s="7" t="str">
        <f>IFERROR(__xludf.DUMMYFUNCTION("""COMPUTED_VALUE"""),"Python, SQL, Google Sheets, Git")</f>
        <v>Python, SQL, Google Sheets, Git</v>
      </c>
      <c r="H60" s="7" t="str">
        <f>IFERROR(__xludf.DUMMYFUNCTION("""COMPUTED_VALUE"""),"No job type data")</f>
        <v>No job type data</v>
      </c>
      <c r="I60" s="7" t="str">
        <f>IFERROR(__xludf.DUMMYFUNCTION("""COMPUTED_VALUE"""),"3,1")</f>
        <v>3,1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 t="str">
        <f>IFERROR(__xludf.DUMMYFUNCTION("""COMPUTED_VALUE"""),"More than 30 days ago")</f>
        <v>More than 30 days ago</v>
      </c>
      <c r="B61" s="7" t="str">
        <f>IFERROR(__xludf.DUMMYFUNCTION("""COMPUTED_VALUE"""),"Data Scientist / Data Engineer")</f>
        <v>Data Scientist / Data Engineer</v>
      </c>
      <c r="C61" s="7" t="str">
        <f>IFERROR(__xludf.DUMMYFUNCTION("""COMPUTED_VALUE"""),"Frankfurt am Main")</f>
        <v>Frankfurt am Main</v>
      </c>
      <c r="D61" s="7" t="str">
        <f>IFERROR(__xludf.DUMMYFUNCTION("""COMPUTED_VALUE"""),"Bettzeit GmbH")</f>
        <v>Bettzeit GmbH</v>
      </c>
      <c r="E61" s="7" t="str">
        <f>IFERROR(__xludf.DUMMYFUNCTION("""COMPUTED_VALUE"""),"NO SALARY DATA")</f>
        <v>NO SALARY DATA</v>
      </c>
      <c r="F61" s="7" t="str">
        <f>IFERROR(__xludf.DUMMYFUNCTION("""COMPUTED_VALUE"""),"No salary data")</f>
        <v>No salary data</v>
      </c>
      <c r="G61" s="7" t="str">
        <f>IFERROR(__xludf.DUMMYFUNCTION("""COMPUTED_VALUE"""),"Python, Tableau, Excel, Machine Learning, Statistic")</f>
        <v>Python, Tableau, Excel, Machine Learning, Statistic</v>
      </c>
      <c r="H61" s="7" t="str">
        <f>IFERROR(__xludf.DUMMYFUNCTION("""COMPUTED_VALUE"""),"No job type data")</f>
        <v>No job type data</v>
      </c>
      <c r="I61" s="7" t="str">
        <f>IFERROR(__xludf.DUMMYFUNCTION("""COMPUTED_VALUE"""),"4,5")</f>
        <v>4,5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 t="str">
        <f>IFERROR(__xludf.DUMMYFUNCTION("""COMPUTED_VALUE"""),"10 days ago")</f>
        <v>10 days ago</v>
      </c>
      <c r="B62" s="7" t="str">
        <f>IFERROR(__xludf.DUMMYFUNCTION("""COMPUTED_VALUE"""),"Business Intelligence Manager - EMEA+Latin America (m/f/d)")</f>
        <v>Business Intelligence Manager - EMEA+Latin America (m/f/d)</v>
      </c>
      <c r="C62" s="7" t="str">
        <f>IFERROR(__xludf.DUMMYFUNCTION("""COMPUTED_VALUE"""),"Ratingen")</f>
        <v>Ratingen</v>
      </c>
      <c r="D62" s="7" t="str">
        <f>IFERROR(__xludf.DUMMYFUNCTION("""COMPUTED_VALUE"""),"Johnson Controls")</f>
        <v>Johnson Controls</v>
      </c>
      <c r="E62" s="7" t="str">
        <f>IFERROR(__xludf.DUMMYFUNCTION("""COMPUTED_VALUE"""),"NO SALARY DATA")</f>
        <v>NO SALARY DATA</v>
      </c>
      <c r="F62" s="7" t="str">
        <f>IFERROR(__xludf.DUMMYFUNCTION("""COMPUTED_VALUE"""),"No salary data")</f>
        <v>No salary data</v>
      </c>
      <c r="G62" s="7" t="str">
        <f>IFERROR(__xludf.DUMMYFUNCTION("""COMPUTED_VALUE"""),"Tableau, Excel")</f>
        <v>Tableau, Excel</v>
      </c>
      <c r="H62" s="7" t="str">
        <f>IFERROR(__xludf.DUMMYFUNCTION("""COMPUTED_VALUE"""),"No job type data")</f>
        <v>No job type data</v>
      </c>
      <c r="I62" s="7" t="str">
        <f>IFERROR(__xludf.DUMMYFUNCTION("""COMPUTED_VALUE"""),"3,7")</f>
        <v>3,7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 t="str">
        <f>IFERROR(__xludf.DUMMYFUNCTION("""COMPUTED_VALUE"""),"More than 30 days ago")</f>
        <v>More than 30 days ago</v>
      </c>
      <c r="B63" s="7" t="str">
        <f>IFERROR(__xludf.DUMMYFUNCTION("""COMPUTED_VALUE"""),"Product Owner Data Analytics (m/w/d)")</f>
        <v>Product Owner Data Analytics (m/w/d)</v>
      </c>
      <c r="C63" s="7" t="str">
        <f>IFERROR(__xludf.DUMMYFUNCTION("""COMPUTED_VALUE"""),"Berlin-Charlottenburg")</f>
        <v>Berlin-Charlottenburg</v>
      </c>
      <c r="D63" s="7" t="str">
        <f>IFERROR(__xludf.DUMMYFUNCTION("""COMPUTED_VALUE"""),"Flaconi GmbH")</f>
        <v>Flaconi GmbH</v>
      </c>
      <c r="E63" s="7" t="str">
        <f>IFERROR(__xludf.DUMMYFUNCTION("""COMPUTED_VALUE"""),"NO SALARY DATA")</f>
        <v>NO SALARY DATA</v>
      </c>
      <c r="F63" s="7" t="str">
        <f>IFERROR(__xludf.DUMMYFUNCTION("""COMPUTED_VALUE"""),"No salary data")</f>
        <v>No salary data</v>
      </c>
      <c r="G63" s="7" t="str">
        <f>IFERROR(__xludf.DUMMYFUNCTION("""COMPUTED_VALUE"""),"Python, SQL, Tableau, Excel, Agile")</f>
        <v>Python, SQL, Tableau, Excel, Agile</v>
      </c>
      <c r="H63" s="7" t="str">
        <f>IFERROR(__xludf.DUMMYFUNCTION("""COMPUTED_VALUE"""),"No job type data")</f>
        <v>No job type data</v>
      </c>
      <c r="I63" s="7" t="str">
        <f>IFERROR(__xludf.DUMMYFUNCTION("""COMPUTED_VALUE"""),"3,9")</f>
        <v>3,9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 t="str">
        <f>IFERROR(__xludf.DUMMYFUNCTION("""COMPUTED_VALUE"""),"More than 30 days ago")</f>
        <v>More than 30 days ago</v>
      </c>
      <c r="B64" s="7" t="str">
        <f>IFERROR(__xludf.DUMMYFUNCTION("""COMPUTED_VALUE"""),"Abschlussarbeit - Fertigung „Data Analytics“")</f>
        <v>Abschlussarbeit - Fertigung „Data Analytics“</v>
      </c>
      <c r="C64" s="7" t="str">
        <f>IFERROR(__xludf.DUMMYFUNCTION("""COMPUTED_VALUE"""),"Hannover")</f>
        <v>Hannover</v>
      </c>
      <c r="D64" s="7" t="str">
        <f>IFERROR(__xludf.DUMMYFUNCTION("""COMPUTED_VALUE"""),"Continental AG")</f>
        <v>Continental AG</v>
      </c>
      <c r="E64" s="7" t="str">
        <f>IFERROR(__xludf.DUMMYFUNCTION("""COMPUTED_VALUE"""),"NO SALARY DATA")</f>
        <v>NO SALARY DATA</v>
      </c>
      <c r="F64" s="7" t="str">
        <f>IFERROR(__xludf.DUMMYFUNCTION("""COMPUTED_VALUE"""),"No salary data")</f>
        <v>No salary data</v>
      </c>
      <c r="G64" s="7" t="str">
        <f>IFERROR(__xludf.DUMMYFUNCTION("""COMPUTED_VALUE"""),"Python, Tableau, Excel, Git")</f>
        <v>Python, Tableau, Excel, Git</v>
      </c>
      <c r="H64" s="7" t="str">
        <f>IFERROR(__xludf.DUMMYFUNCTION("""COMPUTED_VALUE"""),"No job type data")</f>
        <v>No job type data</v>
      </c>
      <c r="I64" s="7" t="str">
        <f>IFERROR(__xludf.DUMMYFUNCTION("""COMPUTED_VALUE"""),"4,0")</f>
        <v>4,0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 t="str">
        <f>IFERROR(__xludf.DUMMYFUNCTION("""COMPUTED_VALUE"""),"More than 30 days ago")</f>
        <v>More than 30 days ago</v>
      </c>
      <c r="B65" s="7" t="str">
        <f>IFERROR(__xludf.DUMMYFUNCTION("""COMPUTED_VALUE"""),"Data Scientist Supply Chain Management (m/w/x)")</f>
        <v>Data Scientist Supply Chain Management (m/w/x)</v>
      </c>
      <c r="C65" s="7" t="str">
        <f>IFERROR(__xludf.DUMMYFUNCTION("""COMPUTED_VALUE"""),"Mülheim an der Ruhr")</f>
        <v>Mülheim an der Ruhr</v>
      </c>
      <c r="D65" s="7" t="str">
        <f>IFERROR(__xludf.DUMMYFUNCTION("""COMPUTED_VALUE"""),"ALDI SÜD")</f>
        <v>ALDI SÜD</v>
      </c>
      <c r="E65" s="7" t="str">
        <f>IFERROR(__xludf.DUMMYFUNCTION("""COMPUTED_VALUE"""),"NO SALARY DATA")</f>
        <v>NO SALARY DATA</v>
      </c>
      <c r="F65" s="7" t="str">
        <f>IFERROR(__xludf.DUMMYFUNCTION("""COMPUTED_VALUE"""),"No salary data")</f>
        <v>No salary data</v>
      </c>
      <c r="G65" s="7" t="str">
        <f>IFERROR(__xludf.DUMMYFUNCTION("""COMPUTED_VALUE"""),"Python, SQL, Excel")</f>
        <v>Python, SQL, Excel</v>
      </c>
      <c r="H65" s="7" t="str">
        <f>IFERROR(__xludf.DUMMYFUNCTION("""COMPUTED_VALUE"""),"No job type data")</f>
        <v>No job type data</v>
      </c>
      <c r="I65" s="7" t="str">
        <f>IFERROR(__xludf.DUMMYFUNCTION("""COMPUTED_VALUE"""),"3,4")</f>
        <v>3,4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 t="str">
        <f>IFERROR(__xludf.DUMMYFUNCTION("""COMPUTED_VALUE"""),"12 days ago")</f>
        <v>12 days ago</v>
      </c>
      <c r="B66" s="7" t="str">
        <f>IFERROR(__xludf.DUMMYFUNCTION("""COMPUTED_VALUE"""),"Innovation Unit Data Steward")</f>
        <v>Innovation Unit Data Steward</v>
      </c>
      <c r="C66" s="7" t="str">
        <f>IFERROR(__xludf.DUMMYFUNCTION("""COMPUTED_VALUE"""),"Biberach an der Riß")</f>
        <v>Biberach an der Riß</v>
      </c>
      <c r="D66" s="7" t="str">
        <f>IFERROR(__xludf.DUMMYFUNCTION("""COMPUTED_VALUE"""),"Boehringer Ingelheim")</f>
        <v>Boehringer Ingelheim</v>
      </c>
      <c r="E66" s="7" t="str">
        <f>IFERROR(__xludf.DUMMYFUNCTION("""COMPUTED_VALUE"""),"NO SALARY DATA")</f>
        <v>NO SALARY DATA</v>
      </c>
      <c r="F66" s="7" t="str">
        <f>IFERROR(__xludf.DUMMYFUNCTION("""COMPUTED_VALUE"""),"No salary data")</f>
        <v>No salary data</v>
      </c>
      <c r="G66" s="7" t="str">
        <f>IFERROR(__xludf.DUMMYFUNCTION("""COMPUTED_VALUE"""),"Excel, Git")</f>
        <v>Excel, Git</v>
      </c>
      <c r="H66" s="7" t="str">
        <f>IFERROR(__xludf.DUMMYFUNCTION("""COMPUTED_VALUE"""),"Full-Time")</f>
        <v>Full-Time</v>
      </c>
      <c r="I66" s="7" t="str">
        <f>IFERROR(__xludf.DUMMYFUNCTION("""COMPUTED_VALUE"""),"4,1")</f>
        <v>4,1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 t="str">
        <f>IFERROR(__xludf.DUMMYFUNCTION("""COMPUTED_VALUE"""),"24 days ago")</f>
        <v>24 days ago</v>
      </c>
      <c r="B67" s="7" t="str">
        <f>IFERROR(__xludf.DUMMYFUNCTION("""COMPUTED_VALUE"""),"Web Analyst (m/f/d) Marketing Europe")</f>
        <v>Web Analyst (m/f/d) Marketing Europe</v>
      </c>
      <c r="C67" s="7" t="str">
        <f>IFERROR(__xludf.DUMMYFUNCTION("""COMPUTED_VALUE"""),"Saarbrücken")</f>
        <v>Saarbrücken</v>
      </c>
      <c r="D67" s="7" t="str">
        <f>IFERROR(__xludf.DUMMYFUNCTION("""COMPUTED_VALUE"""),"ADLER Vertriebs GmbH &amp; Co. Werbegeschenke KG")</f>
        <v>ADLER Vertriebs GmbH &amp; Co. Werbegeschenke KG</v>
      </c>
      <c r="E67" s="7" t="str">
        <f>IFERROR(__xludf.DUMMYFUNCTION("""COMPUTED_VALUE"""),"NO SALARY DATA")</f>
        <v>NO SALARY DATA</v>
      </c>
      <c r="F67" s="7" t="str">
        <f>IFERROR(__xludf.DUMMYFUNCTION("""COMPUTED_VALUE"""),"No salary data")</f>
        <v>No salary data</v>
      </c>
      <c r="G67" s="7" t="str">
        <f>IFERROR(__xludf.DUMMYFUNCTION("""COMPUTED_VALUE"""),"SQL, Excel, Statistic")</f>
        <v>SQL, Excel, Statistic</v>
      </c>
      <c r="H67" s="7" t="str">
        <f>IFERROR(__xludf.DUMMYFUNCTION("""COMPUTED_VALUE"""),"No job type data")</f>
        <v>No job type data</v>
      </c>
      <c r="I67" s="7" t="str">
        <f>IFERROR(__xludf.DUMMYFUNCTION("""COMPUTED_VALUE"""),"3,0")</f>
        <v>3,0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 t="str">
        <f>IFERROR(__xludf.DUMMYFUNCTION("""COMPUTED_VALUE"""),"More than 30 days ago")</f>
        <v>More than 30 days ago</v>
      </c>
      <c r="B68" s="7" t="str">
        <f>IFERROR(__xludf.DUMMYFUNCTION("""COMPUTED_VALUE"""),"Graduate Analyst (m/f/x), Cohort Marketing")</f>
        <v>Graduate Analyst (m/f/x), Cohort Marketing</v>
      </c>
      <c r="C68" s="7" t="str">
        <f>IFERROR(__xludf.DUMMYFUNCTION("""COMPUTED_VALUE"""),"Berlin")</f>
        <v>Berlin</v>
      </c>
      <c r="D68" s="7" t="str">
        <f>IFERROR(__xludf.DUMMYFUNCTION("""COMPUTED_VALUE"""),"Wayfair")</f>
        <v>Wayfair</v>
      </c>
      <c r="E68" s="7" t="str">
        <f>IFERROR(__xludf.DUMMYFUNCTION("""COMPUTED_VALUE"""),"NO SALARY DATA")</f>
        <v>NO SALARY DATA</v>
      </c>
      <c r="F68" s="7" t="str">
        <f>IFERROR(__xludf.DUMMYFUNCTION("""COMPUTED_VALUE"""),"No salary data")</f>
        <v>No salary data</v>
      </c>
      <c r="G68" s="7" t="str">
        <f>IFERROR(__xludf.DUMMYFUNCTION("""COMPUTED_VALUE"""),"Python, SQL, Excel")</f>
        <v>Python, SQL, Excel</v>
      </c>
      <c r="H68" s="7" t="str">
        <f>IFERROR(__xludf.DUMMYFUNCTION("""COMPUTED_VALUE"""),"No job type data")</f>
        <v>No job type data</v>
      </c>
      <c r="I68" s="7" t="str">
        <f>IFERROR(__xludf.DUMMYFUNCTION("""COMPUTED_VALUE"""),"3,1")</f>
        <v>3,1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 t="str">
        <f>IFERROR(__xludf.DUMMYFUNCTION("""COMPUTED_VALUE"""),"26 days ago")</f>
        <v>26 days ago</v>
      </c>
      <c r="B69" s="7" t="str">
        <f>IFERROR(__xludf.DUMMYFUNCTION("""COMPUTED_VALUE"""),"Working Student - Pricing &amp; Market Making - Business Analyse...")</f>
        <v>Working Student - Pricing &amp; Market Making - Business Analyse...</v>
      </c>
      <c r="C69" s="7" t="str">
        <f>IFERROR(__xludf.DUMMYFUNCTION("""COMPUTED_VALUE"""),"Frankfurt am Main")</f>
        <v>Frankfurt am Main</v>
      </c>
      <c r="D69" s="7" t="str">
        <f>IFERROR(__xludf.DUMMYFUNCTION("""COMPUTED_VALUE"""),"Deutsche Börse")</f>
        <v>Deutsche Börse</v>
      </c>
      <c r="E69" s="7" t="str">
        <f>IFERROR(__xludf.DUMMYFUNCTION("""COMPUTED_VALUE"""),"NO SALARY DATA")</f>
        <v>NO SALARY DATA</v>
      </c>
      <c r="F69" s="7" t="str">
        <f>IFERROR(__xludf.DUMMYFUNCTION("""COMPUTED_VALUE"""),"No salary data")</f>
        <v>No salary data</v>
      </c>
      <c r="G69" s="7" t="str">
        <f>IFERROR(__xludf.DUMMYFUNCTION("""COMPUTED_VALUE"""),"Python, SQL, Excel, Statistic")</f>
        <v>Python, SQL, Excel, Statistic</v>
      </c>
      <c r="H69" s="7" t="str">
        <f>IFERROR(__xludf.DUMMYFUNCTION("""COMPUTED_VALUE"""),"No job type data")</f>
        <v>No job type data</v>
      </c>
      <c r="I69" s="7" t="str">
        <f>IFERROR(__xludf.DUMMYFUNCTION("""COMPUTED_VALUE"""),"4,9")</f>
        <v>4,9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 t="str">
        <f>IFERROR(__xludf.DUMMYFUNCTION("""COMPUTED_VALUE"""),"More than 30 days ago")</f>
        <v>More than 30 days ago</v>
      </c>
      <c r="B70" s="7" t="str">
        <f>IFERROR(__xludf.DUMMYFUNCTION("""COMPUTED_VALUE"""),"Marketing Analyst (f/m/d)")</f>
        <v>Marketing Analyst (f/m/d)</v>
      </c>
      <c r="C70" s="7" t="str">
        <f>IFERROR(__xludf.DUMMYFUNCTION("""COMPUTED_VALUE"""),"Berlin")</f>
        <v>Berlin</v>
      </c>
      <c r="D70" s="7" t="str">
        <f>IFERROR(__xludf.DUMMYFUNCTION("""COMPUTED_VALUE"""),"Delivery Hero")</f>
        <v>Delivery Hero</v>
      </c>
      <c r="E70" s="7" t="str">
        <f>IFERROR(__xludf.DUMMYFUNCTION("""COMPUTED_VALUE"""),"NO SALARY DATA")</f>
        <v>NO SALARY DATA</v>
      </c>
      <c r="F70" s="7" t="str">
        <f>IFERROR(__xludf.DUMMYFUNCTION("""COMPUTED_VALUE"""),"No salary data")</f>
        <v>No salary data</v>
      </c>
      <c r="G70" s="7" t="str">
        <f>IFERROR(__xludf.DUMMYFUNCTION("""COMPUTED_VALUE"""),"Python, SQL, Tableau, Excel, Statistic")</f>
        <v>Python, SQL, Tableau, Excel, Statistic</v>
      </c>
      <c r="H70" s="7" t="str">
        <f>IFERROR(__xludf.DUMMYFUNCTION("""COMPUTED_VALUE"""),"No job type data")</f>
        <v>No job type data</v>
      </c>
      <c r="I70" s="7" t="str">
        <f>IFERROR(__xludf.DUMMYFUNCTION("""COMPUTED_VALUE"""),"3,7")</f>
        <v>3,7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 t="str">
        <f>IFERROR(__xludf.DUMMYFUNCTION("""COMPUTED_VALUE"""),"More than 30 days ago")</f>
        <v>More than 30 days ago</v>
      </c>
      <c r="B71" s="7" t="str">
        <f>IFERROR(__xludf.DUMMYFUNCTION("""COMPUTED_VALUE"""),"Data Analyst/Power BI Specialist (m/f/d)")</f>
        <v>Data Analyst/Power BI Specialist (m/f/d)</v>
      </c>
      <c r="C71" s="7" t="str">
        <f>IFERROR(__xludf.DUMMYFUNCTION("""COMPUTED_VALUE"""),"Berlin-Mitte")</f>
        <v>Berlin-Mitte</v>
      </c>
      <c r="D71" s="7" t="str">
        <f>IFERROR(__xludf.DUMMYFUNCTION("""COMPUTED_VALUE"""),"Berlin Brands Group")</f>
        <v>Berlin Brands Group</v>
      </c>
      <c r="E71" s="7" t="str">
        <f>IFERROR(__xludf.DUMMYFUNCTION("""COMPUTED_VALUE"""),"NO SALARY DATA")</f>
        <v>NO SALARY DATA</v>
      </c>
      <c r="F71" s="7" t="str">
        <f>IFERROR(__xludf.DUMMYFUNCTION("""COMPUTED_VALUE"""),"No salary data")</f>
        <v>No salary data</v>
      </c>
      <c r="G71" s="7" t="str">
        <f>IFERROR(__xludf.DUMMYFUNCTION("""COMPUTED_VALUE"""),"Python, SQL, Tableau, Excel, Git")</f>
        <v>Python, SQL, Tableau, Excel, Git</v>
      </c>
      <c r="H71" s="7" t="str">
        <f>IFERROR(__xludf.DUMMYFUNCTION("""COMPUTED_VALUE"""),"No job type data")</f>
        <v>No job type data</v>
      </c>
      <c r="I71" s="7" t="str">
        <f>IFERROR(__xludf.DUMMYFUNCTION("""COMPUTED_VALUE"""),"2,6")</f>
        <v>2,6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 t="str">
        <f>IFERROR(__xludf.DUMMYFUNCTION("""COMPUTED_VALUE"""),"More than 30 days ago")</f>
        <v>More than 30 days ago</v>
      </c>
      <c r="B72" s="7" t="str">
        <f>IFERROR(__xludf.DUMMYFUNCTION("""COMPUTED_VALUE"""),"EU Employee Relations Data Analyst")</f>
        <v>EU Employee Relations Data Analyst</v>
      </c>
      <c r="C72" s="7" t="str">
        <f>IFERROR(__xludf.DUMMYFUNCTION("""COMPUTED_VALUE"""),"München")</f>
        <v>München</v>
      </c>
      <c r="D72" s="7" t="str">
        <f>IFERROR(__xludf.DUMMYFUNCTION("""COMPUTED_VALUE"""),"Amazon Deutschland Trans GmbH")</f>
        <v>Amazon Deutschland Trans GmbH</v>
      </c>
      <c r="E72" s="7" t="str">
        <f>IFERROR(__xludf.DUMMYFUNCTION("""COMPUTED_VALUE"""),"NO SALARY DATA")</f>
        <v>NO SALARY DATA</v>
      </c>
      <c r="F72" s="7" t="str">
        <f>IFERROR(__xludf.DUMMYFUNCTION("""COMPUTED_VALUE"""),"No salary data")</f>
        <v>No salary data</v>
      </c>
      <c r="G72" s="7" t="str">
        <f>IFERROR(__xludf.DUMMYFUNCTION("""COMPUTED_VALUE"""),"Tableau, Excel, Statistic")</f>
        <v>Tableau, Excel, Statistic</v>
      </c>
      <c r="H72" s="7" t="str">
        <f>IFERROR(__xludf.DUMMYFUNCTION("""COMPUTED_VALUE"""),"Full-Time")</f>
        <v>Full-Time</v>
      </c>
      <c r="I72" s="7" t="str">
        <f>IFERROR(__xludf.DUMMYFUNCTION("""COMPUTED_VALUE"""),"3,6")</f>
        <v>3,6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 t="str">
        <f>IFERROR(__xludf.DUMMYFUNCTION("""COMPUTED_VALUE"""),"More than 30 days ago")</f>
        <v>More than 30 days ago</v>
      </c>
      <c r="B73" s="7" t="str">
        <f>IFERROR(__xludf.DUMMYFUNCTION("""COMPUTED_VALUE"""),"(Technical) Pricing Analyst (m/w/d)")</f>
        <v>(Technical) Pricing Analyst (m/w/d)</v>
      </c>
      <c r="C73" s="7" t="str">
        <f>IFERROR(__xludf.DUMMYFUNCTION("""COMPUTED_VALUE"""),"Nordrhein-Westfalen")</f>
        <v>Nordrhein-Westfalen</v>
      </c>
      <c r="D73" s="7" t="str">
        <f>IFERROR(__xludf.DUMMYFUNCTION("""COMPUTED_VALUE"""),"Berner Trading Holding GmbH")</f>
        <v>Berner Trading Holding GmbH</v>
      </c>
      <c r="E73" s="7" t="str">
        <f>IFERROR(__xludf.DUMMYFUNCTION("""COMPUTED_VALUE"""),"NO SALARY DATA")</f>
        <v>NO SALARY DATA</v>
      </c>
      <c r="F73" s="7" t="str">
        <f>IFERROR(__xludf.DUMMYFUNCTION("""COMPUTED_VALUE"""),"No salary data")</f>
        <v>No salary data</v>
      </c>
      <c r="G73" s="7" t="str">
        <f>IFERROR(__xludf.DUMMYFUNCTION("""COMPUTED_VALUE"""),"Python, SQL, Excel, Git")</f>
        <v>Python, SQL, Excel, Git</v>
      </c>
      <c r="H73" s="7" t="str">
        <f>IFERROR(__xludf.DUMMYFUNCTION("""COMPUTED_VALUE"""),"No job type data")</f>
        <v>No job type data</v>
      </c>
      <c r="I73" s="7" t="str">
        <f>IFERROR(__xludf.DUMMYFUNCTION("""COMPUTED_VALUE"""),"3,2")</f>
        <v>3,2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 t="str">
        <f>IFERROR(__xludf.DUMMYFUNCTION("""COMPUTED_VALUE"""),"before 14 days")</f>
        <v>before 14 days</v>
      </c>
      <c r="B74" s="7" t="str">
        <f>IFERROR(__xludf.DUMMYFUNCTION("""COMPUTED_VALUE"""),"Data Analyst / Digital Analyst E-Commerce (m/w/d)")</f>
        <v>Data Analyst / Digital Analyst E-Commerce (m/w/d)</v>
      </c>
      <c r="C74" s="7" t="str">
        <f>IFERROR(__xludf.DUMMYFUNCTION("""COMPUTED_VALUE"""),"Köln")</f>
        <v>Köln</v>
      </c>
      <c r="D74" s="7" t="str">
        <f>IFERROR(__xludf.DUMMYFUNCTION("""COMPUTED_VALUE"""),"Snipes SE")</f>
        <v>Snipes SE</v>
      </c>
      <c r="E74" s="7" t="str">
        <f>IFERROR(__xludf.DUMMYFUNCTION("""COMPUTED_VALUE"""),"NO SALARY DATA")</f>
        <v>NO SALARY DATA</v>
      </c>
      <c r="F74" s="7" t="str">
        <f>IFERROR(__xludf.DUMMYFUNCTION("""COMPUTED_VALUE"""),"No salary data")</f>
        <v>No salary data</v>
      </c>
      <c r="G74" s="7" t="str">
        <f>IFERROR(__xludf.DUMMYFUNCTION("""COMPUTED_VALUE"""),"SQL, Excel")</f>
        <v>SQL, Excel</v>
      </c>
      <c r="H74" s="7" t="str">
        <f>IFERROR(__xludf.DUMMYFUNCTION("""COMPUTED_VALUE"""),"No job type data")</f>
        <v>No job type data</v>
      </c>
      <c r="I74" s="7" t="str">
        <f>IFERROR(__xludf.DUMMYFUNCTION("""COMPUTED_VALUE"""),"3,2")</f>
        <v>3,2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 t="str">
        <f>IFERROR(__xludf.DUMMYFUNCTION("""COMPUTED_VALUE"""),"More than 30 days ago")</f>
        <v>More than 30 days ago</v>
      </c>
      <c r="B75" s="7" t="str">
        <f>IFERROR(__xludf.DUMMYFUNCTION("""COMPUTED_VALUE"""),"Junior Product Analyst (m/f/d)")</f>
        <v>Junior Product Analyst (m/f/d)</v>
      </c>
      <c r="C75" s="7" t="str">
        <f>IFERROR(__xludf.DUMMYFUNCTION("""COMPUTED_VALUE"""),"Berlin")</f>
        <v>Berlin</v>
      </c>
      <c r="D75" s="7" t="str">
        <f>IFERROR(__xludf.DUMMYFUNCTION("""COMPUTED_VALUE"""),"heycar")</f>
        <v>heycar</v>
      </c>
      <c r="E75" s="7" t="str">
        <f>IFERROR(__xludf.DUMMYFUNCTION("""COMPUTED_VALUE"""),"NO SALARY DATA")</f>
        <v>NO SALARY DATA</v>
      </c>
      <c r="F75" s="7" t="str">
        <f>IFERROR(__xludf.DUMMYFUNCTION("""COMPUTED_VALUE"""),"No salary data")</f>
        <v>No salary data</v>
      </c>
      <c r="G75" s="7" t="str">
        <f>IFERROR(__xludf.DUMMYFUNCTION("""COMPUTED_VALUE"""),"Python, SQL, Tableau, Excel, Statistic, Git, Agile")</f>
        <v>Python, SQL, Tableau, Excel, Statistic, Git, Agile</v>
      </c>
      <c r="H75" s="7" t="str">
        <f>IFERROR(__xludf.DUMMYFUNCTION("""COMPUTED_VALUE"""),"No job type data")</f>
        <v>No job type data</v>
      </c>
      <c r="I75" s="7" t="str">
        <f>IFERROR(__xludf.DUMMYFUNCTION("""COMPUTED_VALUE"""),"4,5")</f>
        <v>4,5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 t="str">
        <f>IFERROR(__xludf.DUMMYFUNCTION("""COMPUTED_VALUE"""),"More than 30 days ago")</f>
        <v>More than 30 days ago</v>
      </c>
      <c r="B76" s="7" t="str">
        <f>IFERROR(__xludf.DUMMYFUNCTION("""COMPUTED_VALUE"""),"Technology Architect – Data and Analytics - Cloud platforms")</f>
        <v>Technology Architect – Data and Analytics - Cloud platforms</v>
      </c>
      <c r="C76" s="7" t="str">
        <f>IFERROR(__xludf.DUMMYFUNCTION("""COMPUTED_VALUE"""),"München")</f>
        <v>München</v>
      </c>
      <c r="D76" s="7" t="str">
        <f>IFERROR(__xludf.DUMMYFUNCTION("""COMPUTED_VALUE"""),"Infosys Limited")</f>
        <v>Infosys Limited</v>
      </c>
      <c r="E76" s="7" t="str">
        <f>IFERROR(__xludf.DUMMYFUNCTION("""COMPUTED_VALUE"""),"NO SALARY DATA")</f>
        <v>NO SALARY DATA</v>
      </c>
      <c r="F76" s="7" t="str">
        <f>IFERROR(__xludf.DUMMYFUNCTION("""COMPUTED_VALUE"""),"No salary data")</f>
        <v>No salary data</v>
      </c>
      <c r="G76" s="7" t="str">
        <f>IFERROR(__xludf.DUMMYFUNCTION("""COMPUTED_VALUE"""),"Python, SQL, Excel, Git, Agile")</f>
        <v>Python, SQL, Excel, Git, Agile</v>
      </c>
      <c r="H76" s="7" t="str">
        <f>IFERROR(__xludf.DUMMYFUNCTION("""COMPUTED_VALUE"""),"No job type data")</f>
        <v>No job type data</v>
      </c>
      <c r="I76" s="7" t="str">
        <f>IFERROR(__xludf.DUMMYFUNCTION("""COMPUTED_VALUE"""),"3,9")</f>
        <v>3,9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 t="str">
        <f>IFERROR(__xludf.DUMMYFUNCTION("""COMPUTED_VALUE"""),"More than 30 days ago")</f>
        <v>More than 30 days ago</v>
      </c>
      <c r="B77" s="7" t="str">
        <f>IFERROR(__xludf.DUMMYFUNCTION("""COMPUTED_VALUE"""),"WorkingStudent (f/m/d) Product Analytics")</f>
        <v>WorkingStudent (f/m/d) Product Analytics</v>
      </c>
      <c r="C77" s="7" t="str">
        <f>IFERROR(__xludf.DUMMYFUNCTION("""COMPUTED_VALUE"""),"Berlin")</f>
        <v>Berlin</v>
      </c>
      <c r="D77" s="7" t="str">
        <f>IFERROR(__xludf.DUMMYFUNCTION("""COMPUTED_VALUE"""),"eBay Inc.")</f>
        <v>eBay Inc.</v>
      </c>
      <c r="E77" s="7" t="str">
        <f>IFERROR(__xludf.DUMMYFUNCTION("""COMPUTED_VALUE"""),"NO SALARY DATA")</f>
        <v>NO SALARY DATA</v>
      </c>
      <c r="F77" s="7" t="str">
        <f>IFERROR(__xludf.DUMMYFUNCTION("""COMPUTED_VALUE"""),"No salary data")</f>
        <v>No salary data</v>
      </c>
      <c r="G77" s="7" t="str">
        <f>IFERROR(__xludf.DUMMYFUNCTION("""COMPUTED_VALUE"""),"Python, SQL, Tableau, Excel, Statistic")</f>
        <v>Python, SQL, Tableau, Excel, Statistic</v>
      </c>
      <c r="H77" s="7" t="str">
        <f>IFERROR(__xludf.DUMMYFUNCTION("""COMPUTED_VALUE"""),"No job type data")</f>
        <v>No job type data</v>
      </c>
      <c r="I77" s="7" t="str">
        <f>IFERROR(__xludf.DUMMYFUNCTION("""COMPUTED_VALUE"""),"3,9")</f>
        <v>3,9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 t="str">
        <f>IFERROR(__xludf.DUMMYFUNCTION("""COMPUTED_VALUE"""),"1 day ago")</f>
        <v>1 day ago</v>
      </c>
      <c r="B78" s="7" t="str">
        <f>IFERROR(__xludf.DUMMYFUNCTION("""COMPUTED_VALUE"""),"Social Media Analyst (f/m/d)")</f>
        <v>Social Media Analyst (f/m/d)</v>
      </c>
      <c r="C78" s="7" t="str">
        <f>IFERROR(__xludf.DUMMYFUNCTION("""COMPUTED_VALUE"""),"Berlin")</f>
        <v>Berlin</v>
      </c>
      <c r="D78" s="7" t="str">
        <f>IFERROR(__xludf.DUMMYFUNCTION("""COMPUTED_VALUE"""),"Divimove GmbH")</f>
        <v>Divimove GmbH</v>
      </c>
      <c r="E78" s="7" t="str">
        <f>IFERROR(__xludf.DUMMYFUNCTION("""COMPUTED_VALUE"""),"NO SALARY DATA")</f>
        <v>NO SALARY DATA</v>
      </c>
      <c r="F78" s="7" t="str">
        <f>IFERROR(__xludf.DUMMYFUNCTION("""COMPUTED_VALUE"""),"No salary data")</f>
        <v>No salary data</v>
      </c>
      <c r="G78" s="7" t="str">
        <f>IFERROR(__xludf.DUMMYFUNCTION("""COMPUTED_VALUE"""),"SQL, Excel")</f>
        <v>SQL, Excel</v>
      </c>
      <c r="H78" s="7" t="str">
        <f>IFERROR(__xludf.DUMMYFUNCTION("""COMPUTED_VALUE"""),"No job type data")</f>
        <v>No job type data</v>
      </c>
      <c r="I78" s="7" t="str">
        <f>IFERROR(__xludf.DUMMYFUNCTION("""COMPUTED_VALUE"""),"2,7")</f>
        <v>2,7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 t="str">
        <f>IFERROR(__xludf.DUMMYFUNCTION("""COMPUTED_VALUE"""),"19 days ago")</f>
        <v>19 days ago</v>
      </c>
      <c r="B79" s="7" t="str">
        <f>IFERROR(__xludf.DUMMYFUNCTION("""COMPUTED_VALUE"""),"Working Student/Internship Data Efficiency &amp; Analytics (m/f/...")</f>
        <v>Working Student/Internship Data Efficiency &amp; Analytics (m/f/...</v>
      </c>
      <c r="C79" s="7" t="str">
        <f>IFERROR(__xludf.DUMMYFUNCTION("""COMPUTED_VALUE"""),"Hamburg")</f>
        <v>Hamburg</v>
      </c>
      <c r="D79" s="7" t="str">
        <f>IFERROR(__xludf.DUMMYFUNCTION("""COMPUTED_VALUE"""),"Philips")</f>
        <v>Philips</v>
      </c>
      <c r="E79" s="7" t="str">
        <f>IFERROR(__xludf.DUMMYFUNCTION("""COMPUTED_VALUE"""),"NO SALARY DATA")</f>
        <v>NO SALARY DATA</v>
      </c>
      <c r="F79" s="7" t="str">
        <f>IFERROR(__xludf.DUMMYFUNCTION("""COMPUTED_VALUE"""),"No salary data")</f>
        <v>No salary data</v>
      </c>
      <c r="G79" s="7" t="str">
        <f>IFERROR(__xludf.DUMMYFUNCTION("""COMPUTED_VALUE"""),"Excel")</f>
        <v>Excel</v>
      </c>
      <c r="H79" s="7" t="str">
        <f>IFERROR(__xludf.DUMMYFUNCTION("""COMPUTED_VALUE"""),"Internship")</f>
        <v>Internship</v>
      </c>
      <c r="I79" s="7" t="str">
        <f>IFERROR(__xludf.DUMMYFUNCTION("""COMPUTED_VALUE"""),"4,0")</f>
        <v>4,0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 t="str">
        <f>IFERROR(__xludf.DUMMYFUNCTION("""COMPUTED_VALUE"""),"More than 30 days ago")</f>
        <v>More than 30 days ago</v>
      </c>
      <c r="B80" s="7" t="str">
        <f>IFERROR(__xludf.DUMMYFUNCTION("""COMPUTED_VALUE"""),"Intern Business Analytics (f/m/x)")</f>
        <v>Intern Business Analytics (f/m/x)</v>
      </c>
      <c r="C80" s="7" t="str">
        <f>IFERROR(__xludf.DUMMYFUNCTION("""COMPUTED_VALUE"""),"Berlin-Kreuzberg")</f>
        <v>Berlin-Kreuzberg</v>
      </c>
      <c r="D80" s="7" t="str">
        <f>IFERROR(__xludf.DUMMYFUNCTION("""COMPUTED_VALUE"""),"AUTO1")</f>
        <v>AUTO1</v>
      </c>
      <c r="E80" s="7" t="str">
        <f>IFERROR(__xludf.DUMMYFUNCTION("""COMPUTED_VALUE"""),"NO SALARY DATA")</f>
        <v>NO SALARY DATA</v>
      </c>
      <c r="F80" s="7" t="str">
        <f>IFERROR(__xludf.DUMMYFUNCTION("""COMPUTED_VALUE"""),"No salary data")</f>
        <v>No salary data</v>
      </c>
      <c r="G80" s="7" t="str">
        <f>IFERROR(__xludf.DUMMYFUNCTION("""COMPUTED_VALUE"""),"Python, Excel, Git")</f>
        <v>Python, Excel, Git</v>
      </c>
      <c r="H80" s="7" t="str">
        <f>IFERROR(__xludf.DUMMYFUNCTION("""COMPUTED_VALUE"""),"Internship")</f>
        <v>Internship</v>
      </c>
      <c r="I80" s="7" t="str">
        <f>IFERROR(__xludf.DUMMYFUNCTION("""COMPUTED_VALUE"""),"3,1")</f>
        <v>3,1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 t="str">
        <f>IFERROR(__xludf.DUMMYFUNCTION("""COMPUTED_VALUE"""),"12 days ago")</f>
        <v>12 days ago</v>
      </c>
      <c r="B81" s="7" t="str">
        <f>IFERROR(__xludf.DUMMYFUNCTION("""COMPUTED_VALUE"""),"People Data Scientist (all genders)")</f>
        <v>People Data Scientist (all genders)</v>
      </c>
      <c r="C81" s="7" t="str">
        <f>IFERROR(__xludf.DUMMYFUNCTION("""COMPUTED_VALUE"""),"Darmstadt")</f>
        <v>Darmstadt</v>
      </c>
      <c r="D81" s="7" t="str">
        <f>IFERROR(__xludf.DUMMYFUNCTION("""COMPUTED_VALUE"""),"Merck KGaA")</f>
        <v>Merck KGaA</v>
      </c>
      <c r="E81" s="7" t="str">
        <f>IFERROR(__xludf.DUMMYFUNCTION("""COMPUTED_VALUE"""),"NO SALARY DATA")</f>
        <v>NO SALARY DATA</v>
      </c>
      <c r="F81" s="7" t="str">
        <f>IFERROR(__xludf.DUMMYFUNCTION("""COMPUTED_VALUE"""),"No salary data")</f>
        <v>No salary data</v>
      </c>
      <c r="G81" s="7" t="str">
        <f>IFERROR(__xludf.DUMMYFUNCTION("""COMPUTED_VALUE"""),"Python, Tableau, Excel, Machine Learning, Deep Learning, Git")</f>
        <v>Python, Tableau, Excel, Machine Learning, Deep Learning, Git</v>
      </c>
      <c r="H81" s="7" t="str">
        <f>IFERROR(__xludf.DUMMYFUNCTION("""COMPUTED_VALUE"""),"Full-Time")</f>
        <v>Full-Time</v>
      </c>
      <c r="I81" s="7" t="str">
        <f>IFERROR(__xludf.DUMMYFUNCTION("""COMPUTED_VALUE"""),"4,1")</f>
        <v>4,1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 t="str">
        <f>IFERROR(__xludf.DUMMYFUNCTION("""COMPUTED_VALUE"""),"13 days ago")</f>
        <v>13 days ago</v>
      </c>
      <c r="B82" s="7" t="str">
        <f>IFERROR(__xludf.DUMMYFUNCTION("""COMPUTED_VALUE"""),"Computer scientist/data analyst in Single Cell Genomics &amp; Im...")</f>
        <v>Computer scientist/data analyst in Single Cell Genomics &amp; Im...</v>
      </c>
      <c r="C82" s="7" t="str">
        <f>IFERROR(__xludf.DUMMYFUNCTION("""COMPUTED_VALUE"""),"Heidelberg")</f>
        <v>Heidelberg</v>
      </c>
      <c r="D82" s="7" t="str">
        <f>IFERROR(__xludf.DUMMYFUNCTION("""COMPUTED_VALUE"""),"European Molecular Biology Laboratory")</f>
        <v>European Molecular Biology Laboratory</v>
      </c>
      <c r="E82" s="7" t="str">
        <f>IFERROR(__xludf.DUMMYFUNCTION("""COMPUTED_VALUE"""),"NO SALARY DATA")</f>
        <v>NO SALARY DATA</v>
      </c>
      <c r="F82" s="7" t="str">
        <f>IFERROR(__xludf.DUMMYFUNCTION("""COMPUTED_VALUE"""),"No salary data")</f>
        <v>No salary data</v>
      </c>
      <c r="G82" s="7" t="str">
        <f>IFERROR(__xludf.DUMMYFUNCTION("""COMPUTED_VALUE"""),"Excel")</f>
        <v>Excel</v>
      </c>
      <c r="H82" s="7" t="str">
        <f>IFERROR(__xludf.DUMMYFUNCTION("""COMPUTED_VALUE"""),"Contract")</f>
        <v>Contract</v>
      </c>
      <c r="I82" s="7" t="str">
        <f>IFERROR(__xludf.DUMMYFUNCTION("""COMPUTED_VALUE"""),"4,6")</f>
        <v>4,6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 t="str">
        <f>IFERROR(__xludf.DUMMYFUNCTION("""COMPUTED_VALUE"""),"26 days ago")</f>
        <v>26 days ago</v>
      </c>
      <c r="B83" s="7" t="str">
        <f>IFERROR(__xludf.DUMMYFUNCTION("""COMPUTED_VALUE"""),"Working Student - Pricing &amp; Market Making - Business Analyse...")</f>
        <v>Working Student - Pricing &amp; Market Making - Business Analyse...</v>
      </c>
      <c r="C83" s="7" t="str">
        <f>IFERROR(__xludf.DUMMYFUNCTION("""COMPUTED_VALUE"""),"Frankfurt am Main")</f>
        <v>Frankfurt am Main</v>
      </c>
      <c r="D83" s="7" t="str">
        <f>IFERROR(__xludf.DUMMYFUNCTION("""COMPUTED_VALUE"""),"Deutsche Börse")</f>
        <v>Deutsche Börse</v>
      </c>
      <c r="E83" s="7" t="str">
        <f>IFERROR(__xludf.DUMMYFUNCTION("""COMPUTED_VALUE"""),"NO SALARY DATA")</f>
        <v>NO SALARY DATA</v>
      </c>
      <c r="F83" s="7" t="str">
        <f>IFERROR(__xludf.DUMMYFUNCTION("""COMPUTED_VALUE"""),"No salary data")</f>
        <v>No salary data</v>
      </c>
      <c r="G83" s="7" t="str">
        <f>IFERROR(__xludf.DUMMYFUNCTION("""COMPUTED_VALUE"""),"Python, SQL, Excel, Statistic")</f>
        <v>Python, SQL, Excel, Statistic</v>
      </c>
      <c r="H83" s="7" t="str">
        <f>IFERROR(__xludf.DUMMYFUNCTION("""COMPUTED_VALUE"""),"No job type data")</f>
        <v>No job type data</v>
      </c>
      <c r="I83" s="7" t="str">
        <f>IFERROR(__xludf.DUMMYFUNCTION("""COMPUTED_VALUE"""),"4,9")</f>
        <v>4,9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 t="str">
        <f>IFERROR(__xludf.DUMMYFUNCTION("""COMPUTED_VALUE"""),"More than 30 days ago")</f>
        <v>More than 30 days ago</v>
      </c>
      <c r="B84" s="7" t="str">
        <f>IFERROR(__xludf.DUMMYFUNCTION("""COMPUTED_VALUE"""),"SCM Data Analyst (m/f/x)")</f>
        <v>SCM Data Analyst (m/f/x)</v>
      </c>
      <c r="C84" s="7" t="str">
        <f>IFERROR(__xludf.DUMMYFUNCTION("""COMPUTED_VALUE"""),"Berlin")</f>
        <v>Berlin</v>
      </c>
      <c r="D84" s="7" t="str">
        <f>IFERROR(__xludf.DUMMYFUNCTION("""COMPUTED_VALUE"""),"HelloFresh")</f>
        <v>HelloFresh</v>
      </c>
      <c r="E84" s="7" t="str">
        <f>IFERROR(__xludf.DUMMYFUNCTION("""COMPUTED_VALUE"""),"NO SALARY DATA")</f>
        <v>NO SALARY DATA</v>
      </c>
      <c r="F84" s="7" t="str">
        <f>IFERROR(__xludf.DUMMYFUNCTION("""COMPUTED_VALUE"""),"No salary data")</f>
        <v>No salary data</v>
      </c>
      <c r="G84" s="7" t="str">
        <f>IFERROR(__xludf.DUMMYFUNCTION("""COMPUTED_VALUE"""),"Python, SQL, Tableau, Excel, Statistic")</f>
        <v>Python, SQL, Tableau, Excel, Statistic</v>
      </c>
      <c r="H84" s="7" t="str">
        <f>IFERROR(__xludf.DUMMYFUNCTION("""COMPUTED_VALUE"""),"No job type data")</f>
        <v>No job type data</v>
      </c>
      <c r="I84" s="7" t="str">
        <f>IFERROR(__xludf.DUMMYFUNCTION("""COMPUTED_VALUE"""),"3,2")</f>
        <v>3,2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 t="str">
        <f>IFERROR(__xludf.DUMMYFUNCTION("""COMPUTED_VALUE"""),"More than 30 days ago")</f>
        <v>More than 30 days ago</v>
      </c>
      <c r="B85" s="7" t="str">
        <f>IFERROR(__xludf.DUMMYFUNCTION("""COMPUTED_VALUE"""),"Wirtschaftsmathematiker (w/m/d) Data Risk &amp; Quality")</f>
        <v>Wirtschaftsmathematiker (w/m/d) Data Risk &amp; Quality</v>
      </c>
      <c r="C85" s="7" t="str">
        <f>IFERROR(__xludf.DUMMYFUNCTION("""COMPUTED_VALUE"""),"Mönchengladbach")</f>
        <v>Mönchengladbach</v>
      </c>
      <c r="D85" s="7" t="str">
        <f>IFERROR(__xludf.DUMMYFUNCTION("""COMPUTED_VALUE"""),"Santander Consumer Bank AG")</f>
        <v>Santander Consumer Bank AG</v>
      </c>
      <c r="E85" s="7" t="str">
        <f>IFERROR(__xludf.DUMMYFUNCTION("""COMPUTED_VALUE"""),"NO SALARY DATA")</f>
        <v>NO SALARY DATA</v>
      </c>
      <c r="F85" s="7" t="str">
        <f>IFERROR(__xludf.DUMMYFUNCTION("""COMPUTED_VALUE"""),"No salary data")</f>
        <v>No salary data</v>
      </c>
      <c r="G85" s="7" t="str">
        <f>IFERROR(__xludf.DUMMYFUNCTION("""COMPUTED_VALUE"""),"SQL, Excel")</f>
        <v>SQL, Excel</v>
      </c>
      <c r="H85" s="7" t="str">
        <f>IFERROR(__xludf.DUMMYFUNCTION("""COMPUTED_VALUE"""),"No job type data")</f>
        <v>No job type data</v>
      </c>
      <c r="I85" s="7" t="str">
        <f>IFERROR(__xludf.DUMMYFUNCTION("""COMPUTED_VALUE"""),"3,6")</f>
        <v>3,6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 t="str">
        <f>IFERROR(__xludf.DUMMYFUNCTION("""COMPUTED_VALUE"""),"13 days ago")</f>
        <v>13 days ago</v>
      </c>
      <c r="B86" s="7" t="str">
        <f>IFERROR(__xludf.DUMMYFUNCTION("""COMPUTED_VALUE"""),"Computer scientist/data analyst in Single Cell Genomics &amp; Im...")</f>
        <v>Computer scientist/data analyst in Single Cell Genomics &amp; Im...</v>
      </c>
      <c r="C86" s="7" t="str">
        <f>IFERROR(__xludf.DUMMYFUNCTION("""COMPUTED_VALUE"""),"Heidelberg")</f>
        <v>Heidelberg</v>
      </c>
      <c r="D86" s="7" t="str">
        <f>IFERROR(__xludf.DUMMYFUNCTION("""COMPUTED_VALUE"""),"European Molecular Biology Laboratory")</f>
        <v>European Molecular Biology Laboratory</v>
      </c>
      <c r="E86" s="7" t="str">
        <f>IFERROR(__xludf.DUMMYFUNCTION("""COMPUTED_VALUE"""),"NO SALARY DATA")</f>
        <v>NO SALARY DATA</v>
      </c>
      <c r="F86" s="7" t="str">
        <f>IFERROR(__xludf.DUMMYFUNCTION("""COMPUTED_VALUE"""),"No salary data")</f>
        <v>No salary data</v>
      </c>
      <c r="G86" s="7" t="str">
        <f>IFERROR(__xludf.DUMMYFUNCTION("""COMPUTED_VALUE"""),"Excel")</f>
        <v>Excel</v>
      </c>
      <c r="H86" s="7" t="str">
        <f>IFERROR(__xludf.DUMMYFUNCTION("""COMPUTED_VALUE"""),"Contract")</f>
        <v>Contract</v>
      </c>
      <c r="I86" s="7" t="str">
        <f>IFERROR(__xludf.DUMMYFUNCTION("""COMPUTED_VALUE"""),"4,6")</f>
        <v>4,6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 t="str">
        <f>IFERROR(__xludf.DUMMYFUNCTION("""COMPUTED_VALUE"""),"12 days ago")</f>
        <v>12 days ago</v>
      </c>
      <c r="B87" s="7" t="str">
        <f>IFERROR(__xludf.DUMMYFUNCTION("""COMPUTED_VALUE"""),"(Senior) Data Analyst (m/w/d) im Risikocontrolling")</f>
        <v>(Senior) Data Analyst (m/w/d) im Risikocontrolling</v>
      </c>
      <c r="C87" s="7" t="str">
        <f>IFERROR(__xludf.DUMMYFUNCTION("""COMPUTED_VALUE"""),"Deutschland")</f>
        <v>Deutschland</v>
      </c>
      <c r="D87" s="7" t="str">
        <f>IFERROR(__xludf.DUMMYFUNCTION("""COMPUTED_VALUE"""),"Société Générale")</f>
        <v>Société Générale</v>
      </c>
      <c r="E87" s="7" t="str">
        <f>IFERROR(__xludf.DUMMYFUNCTION("""COMPUTED_VALUE"""),"NO SALARY DATA")</f>
        <v>NO SALARY DATA</v>
      </c>
      <c r="F87" s="7" t="str">
        <f>IFERROR(__xludf.DUMMYFUNCTION("""COMPUTED_VALUE"""),"No salary data")</f>
        <v>No salary data</v>
      </c>
      <c r="G87" s="7" t="str">
        <f>IFERROR(__xludf.DUMMYFUNCTION("""COMPUTED_VALUE"""),"Python, SQL, Excel, Git")</f>
        <v>Python, SQL, Excel, Git</v>
      </c>
      <c r="H87" s="7" t="str">
        <f>IFERROR(__xludf.DUMMYFUNCTION("""COMPUTED_VALUE"""),"No job type data")</f>
        <v>No job type data</v>
      </c>
      <c r="I87" s="7" t="str">
        <f>IFERROR(__xludf.DUMMYFUNCTION("""COMPUTED_VALUE"""),"3,9")</f>
        <v>3,9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 t="str">
        <f>IFERROR(__xludf.DUMMYFUNCTION("""COMPUTED_VALUE"""),"13 days ago")</f>
        <v>13 days ago</v>
      </c>
      <c r="B88" s="7" t="str">
        <f>IFERROR(__xludf.DUMMYFUNCTION("""COMPUTED_VALUE"""),"Data Analyst Warenflussmanagement (w/m/d)")</f>
        <v>Data Analyst Warenflussmanagement (w/m/d)</v>
      </c>
      <c r="C88" s="7" t="str">
        <f>IFERROR(__xludf.DUMMYFUNCTION("""COMPUTED_VALUE"""),"Karlsruhe")</f>
        <v>Karlsruhe</v>
      </c>
      <c r="D88" s="7" t="str">
        <f>IFERROR(__xludf.DUMMYFUNCTION("""COMPUTED_VALUE"""),"dm-drogerie markt")</f>
        <v>dm-drogerie markt</v>
      </c>
      <c r="E88" s="7" t="str">
        <f>IFERROR(__xludf.DUMMYFUNCTION("""COMPUTED_VALUE"""),"NO SALARY DATA")</f>
        <v>NO SALARY DATA</v>
      </c>
      <c r="F88" s="7" t="str">
        <f>IFERROR(__xludf.DUMMYFUNCTION("""COMPUTED_VALUE"""),"No salary data")</f>
        <v>No salary data</v>
      </c>
      <c r="G88" s="7" t="str">
        <f>IFERROR(__xludf.DUMMYFUNCTION("""COMPUTED_VALUE"""),"Python, Excel, Machine Learning")</f>
        <v>Python, Excel, Machine Learning</v>
      </c>
      <c r="H88" s="7" t="str">
        <f>IFERROR(__xludf.DUMMYFUNCTION("""COMPUTED_VALUE"""),"No job type data")</f>
        <v>No job type data</v>
      </c>
      <c r="I88" s="7" t="str">
        <f>IFERROR(__xludf.DUMMYFUNCTION("""COMPUTED_VALUE"""),"3,7")</f>
        <v>3,7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 t="str">
        <f>IFERROR(__xludf.DUMMYFUNCTION("""COMPUTED_VALUE"""),"21 days ago")</f>
        <v>21 days ago</v>
      </c>
      <c r="B89" s="7" t="str">
        <f>IFERROR(__xludf.DUMMYFUNCTION("""COMPUTED_VALUE"""),"Full-time opportunities for students &amp; recent graduates: Tec...")</f>
        <v>Full-time opportunities for students &amp; recent graduates: Tec...</v>
      </c>
      <c r="C89" s="7" t="str">
        <f>IFERROR(__xludf.DUMMYFUNCTION("""COMPUTED_VALUE"""),"München")</f>
        <v>München</v>
      </c>
      <c r="D89" s="7" t="str">
        <f>IFERROR(__xludf.DUMMYFUNCTION("""COMPUTED_VALUE"""),"Microsoft")</f>
        <v>Microsoft</v>
      </c>
      <c r="E89" s="7" t="str">
        <f>IFERROR(__xludf.DUMMYFUNCTION("""COMPUTED_VALUE"""),"NO SALARY DATA")</f>
        <v>NO SALARY DATA</v>
      </c>
      <c r="F89" s="7" t="str">
        <f>IFERROR(__xludf.DUMMYFUNCTION("""COMPUTED_VALUE"""),"No salary data")</f>
        <v>No salary data</v>
      </c>
      <c r="G89" s="7" t="str">
        <f>IFERROR(__xludf.DUMMYFUNCTION("""COMPUTED_VALUE"""),"Excel, Machine Learning, Git")</f>
        <v>Excel, Machine Learning, Git</v>
      </c>
      <c r="H89" s="7" t="str">
        <f>IFERROR(__xludf.DUMMYFUNCTION("""COMPUTED_VALUE"""),"Contract")</f>
        <v>Contract</v>
      </c>
      <c r="I89" s="7" t="str">
        <f>IFERROR(__xludf.DUMMYFUNCTION("""COMPUTED_VALUE"""),"4,2")</f>
        <v>4,2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 t="str">
        <f>IFERROR(__xludf.DUMMYFUNCTION("""COMPUTED_VALUE"""),"3 days ago")</f>
        <v>3 days ago</v>
      </c>
      <c r="B90" s="7" t="str">
        <f>IFERROR(__xludf.DUMMYFUNCTION("""COMPUTED_VALUE"""),"(Senior) Data Scientist - Logistics (f/m/d)")</f>
        <v>(Senior) Data Scientist - Logistics (f/m/d)</v>
      </c>
      <c r="C90" s="7" t="str">
        <f>IFERROR(__xludf.DUMMYFUNCTION("""COMPUTED_VALUE"""),"Berlin")</f>
        <v>Berlin</v>
      </c>
      <c r="D90" s="7" t="str">
        <f>IFERROR(__xludf.DUMMYFUNCTION("""COMPUTED_VALUE"""),"Delivery Hero")</f>
        <v>Delivery Hero</v>
      </c>
      <c r="E90" s="7" t="str">
        <f>IFERROR(__xludf.DUMMYFUNCTION("""COMPUTED_VALUE"""),"NO SALARY DATA")</f>
        <v>NO SALARY DATA</v>
      </c>
      <c r="F90" s="7" t="str">
        <f>IFERROR(__xludf.DUMMYFUNCTION("""COMPUTED_VALUE"""),"No salary data")</f>
        <v>No salary data</v>
      </c>
      <c r="G90" s="7" t="str">
        <f>IFERROR(__xludf.DUMMYFUNCTION("""COMPUTED_VALUE"""),"Python, SQL, Excel, Machine Learning, Statistic")</f>
        <v>Python, SQL, Excel, Machine Learning, Statistic</v>
      </c>
      <c r="H90" s="7" t="str">
        <f>IFERROR(__xludf.DUMMYFUNCTION("""COMPUTED_VALUE"""),"No job type data")</f>
        <v>No job type data</v>
      </c>
      <c r="I90" s="7" t="str">
        <f>IFERROR(__xludf.DUMMYFUNCTION("""COMPUTED_VALUE"""),"3,7")</f>
        <v>3,7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 t="str">
        <f>IFERROR(__xludf.DUMMYFUNCTION("""COMPUTED_VALUE"""),"19 days ago")</f>
        <v>19 days ago</v>
      </c>
      <c r="B91" s="7" t="str">
        <f>IFERROR(__xludf.DUMMYFUNCTION("""COMPUTED_VALUE"""),"Working Student/Internship Data Efficiency &amp; Analytics (m/f/...")</f>
        <v>Working Student/Internship Data Efficiency &amp; Analytics (m/f/...</v>
      </c>
      <c r="C91" s="7" t="str">
        <f>IFERROR(__xludf.DUMMYFUNCTION("""COMPUTED_VALUE"""),"Hamburg")</f>
        <v>Hamburg</v>
      </c>
      <c r="D91" s="7" t="str">
        <f>IFERROR(__xludf.DUMMYFUNCTION("""COMPUTED_VALUE"""),"Philips")</f>
        <v>Philips</v>
      </c>
      <c r="E91" s="7" t="str">
        <f>IFERROR(__xludf.DUMMYFUNCTION("""COMPUTED_VALUE"""),"NO SALARY DATA")</f>
        <v>NO SALARY DATA</v>
      </c>
      <c r="F91" s="7" t="str">
        <f>IFERROR(__xludf.DUMMYFUNCTION("""COMPUTED_VALUE"""),"No salary data")</f>
        <v>No salary data</v>
      </c>
      <c r="G91" s="7" t="str">
        <f>IFERROR(__xludf.DUMMYFUNCTION("""COMPUTED_VALUE"""),"Excel")</f>
        <v>Excel</v>
      </c>
      <c r="H91" s="7" t="str">
        <f>IFERROR(__xludf.DUMMYFUNCTION("""COMPUTED_VALUE"""),"Internship")</f>
        <v>Internship</v>
      </c>
      <c r="I91" s="7" t="str">
        <f>IFERROR(__xludf.DUMMYFUNCTION("""COMPUTED_VALUE"""),"4,0")</f>
        <v>4,0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 t="str">
        <f>IFERROR(__xludf.DUMMYFUNCTION("""COMPUTED_VALUE"""),"More than 30 days ago")</f>
        <v>More than 30 days ago</v>
      </c>
      <c r="B92" s="7" t="str">
        <f>IFERROR(__xludf.DUMMYFUNCTION("""COMPUTED_VALUE"""),"Automotive Application Engineer - Data Science (f/m/d)")</f>
        <v>Automotive Application Engineer - Data Science (f/m/d)</v>
      </c>
      <c r="C92" s="7" t="str">
        <f>IFERROR(__xludf.DUMMYFUNCTION("""COMPUTED_VALUE"""),"München")</f>
        <v>München</v>
      </c>
      <c r="D92" s="7" t="str">
        <f>IFERROR(__xludf.DUMMYFUNCTION("""COMPUTED_VALUE"""),"MathWorks")</f>
        <v>MathWorks</v>
      </c>
      <c r="E92" s="7" t="str">
        <f>IFERROR(__xludf.DUMMYFUNCTION("""COMPUTED_VALUE"""),"NO SALARY DATA")</f>
        <v>NO SALARY DATA</v>
      </c>
      <c r="F92" s="7" t="str">
        <f>IFERROR(__xludf.DUMMYFUNCTION("""COMPUTED_VALUE"""),"No salary data")</f>
        <v>No salary data</v>
      </c>
      <c r="G92" s="7" t="str">
        <f>IFERROR(__xludf.DUMMYFUNCTION("""COMPUTED_VALUE"""),"Excel, Machine Learning, Deep Learning, Git")</f>
        <v>Excel, Machine Learning, Deep Learning, Git</v>
      </c>
      <c r="H92" s="7" t="str">
        <f>IFERROR(__xludf.DUMMYFUNCTION("""COMPUTED_VALUE"""),"No job type data")</f>
        <v>No job type data</v>
      </c>
      <c r="I92" s="7" t="str">
        <f>IFERROR(__xludf.DUMMYFUNCTION("""COMPUTED_VALUE"""),"4,0")</f>
        <v>4,0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 t="str">
        <f>IFERROR(__xludf.DUMMYFUNCTION("""COMPUTED_VALUE"""),"28 days ago")</f>
        <v>28 days ago</v>
      </c>
      <c r="B93" s="7" t="str">
        <f>IFERROR(__xludf.DUMMYFUNCTION("""COMPUTED_VALUE"""),"IT Operations Specialist (m/w/d) - Data Analytics")</f>
        <v>IT Operations Specialist (m/w/d) - Data Analytics</v>
      </c>
      <c r="C93" s="7" t="str">
        <f>IFERROR(__xludf.DUMMYFUNCTION("""COMPUTED_VALUE"""),"Berlin")</f>
        <v>Berlin</v>
      </c>
      <c r="D93" s="7" t="str">
        <f>IFERROR(__xludf.DUMMYFUNCTION("""COMPUTED_VALUE"""),"KWS Group")</f>
        <v>KWS Group</v>
      </c>
      <c r="E93" s="7" t="str">
        <f>IFERROR(__xludf.DUMMYFUNCTION("""COMPUTED_VALUE"""),"NO SALARY DATA")</f>
        <v>NO SALARY DATA</v>
      </c>
      <c r="F93" s="7" t="str">
        <f>IFERROR(__xludf.DUMMYFUNCTION("""COMPUTED_VALUE"""),"No salary data")</f>
        <v>No salary data</v>
      </c>
      <c r="G93" s="7" t="str">
        <f>IFERROR(__xludf.DUMMYFUNCTION("""COMPUTED_VALUE"""),"Python, SQL, Excel")</f>
        <v>Python, SQL, Excel</v>
      </c>
      <c r="H93" s="7" t="str">
        <f>IFERROR(__xludf.DUMMYFUNCTION("""COMPUTED_VALUE"""),"No job type data")</f>
        <v>No job type data</v>
      </c>
      <c r="I93" s="7" t="str">
        <f>IFERROR(__xludf.DUMMYFUNCTION("""COMPUTED_VALUE"""),"3,6")</f>
        <v>3,6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 t="str">
        <f>IFERROR(__xludf.DUMMYFUNCTION("""COMPUTED_VALUE"""),"17 days ago")</f>
        <v>17 days ago</v>
      </c>
      <c r="B94" s="7" t="str">
        <f>IFERROR(__xludf.DUMMYFUNCTION("""COMPUTED_VALUE"""),"Praktikant (m/w/d) für 6 Monate im Bereich Business Intellig...")</f>
        <v>Praktikant (m/w/d) für 6 Monate im Bereich Business Intellig...</v>
      </c>
      <c r="C94" s="7" t="str">
        <f>IFERROR(__xludf.DUMMYFUNCTION("""COMPUTED_VALUE"""),"München")</f>
        <v>München</v>
      </c>
      <c r="D94" s="7" t="str">
        <f>IFERROR(__xludf.DUMMYFUNCTION("""COMPUTED_VALUE"""),"Allianz Private Krankenversicherungs-AG")</f>
        <v>Allianz Private Krankenversicherungs-AG</v>
      </c>
      <c r="E94" s="7" t="str">
        <f>IFERROR(__xludf.DUMMYFUNCTION("""COMPUTED_VALUE"""),"NO SALARY DATA")</f>
        <v>NO SALARY DATA</v>
      </c>
      <c r="F94" s="7" t="str">
        <f>IFERROR(__xludf.DUMMYFUNCTION("""COMPUTED_VALUE"""),"No salary data")</f>
        <v>No salary data</v>
      </c>
      <c r="G94" s="7" t="str">
        <f>IFERROR(__xludf.DUMMYFUNCTION("""COMPUTED_VALUE"""),"SQL, Excel, Git")</f>
        <v>SQL, Excel, Git</v>
      </c>
      <c r="H94" s="7" t="str">
        <f>IFERROR(__xludf.DUMMYFUNCTION("""COMPUTED_VALUE"""),"No job type data")</f>
        <v>No job type data</v>
      </c>
      <c r="I94" s="7" t="str">
        <f>IFERROR(__xludf.DUMMYFUNCTION("""COMPUTED_VALUE"""),"3,9")</f>
        <v>3,9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 t="str">
        <f>IFERROR(__xludf.DUMMYFUNCTION("""COMPUTED_VALUE"""),"More than 30 days ago")</f>
        <v>More than 30 days ago</v>
      </c>
      <c r="B95" s="7" t="str">
        <f>IFERROR(__xludf.DUMMYFUNCTION("""COMPUTED_VALUE"""),"Data Engineer Clinical Operations CTM Support (all genders)")</f>
        <v>Data Engineer Clinical Operations CTM Support (all genders)</v>
      </c>
      <c r="C95" s="7" t="str">
        <f>IFERROR(__xludf.DUMMYFUNCTION("""COMPUTED_VALUE"""),"Darmstadt")</f>
        <v>Darmstadt</v>
      </c>
      <c r="D95" s="7" t="str">
        <f>IFERROR(__xludf.DUMMYFUNCTION("""COMPUTED_VALUE"""),"Merck KGaA")</f>
        <v>Merck KGaA</v>
      </c>
      <c r="E95" s="7" t="str">
        <f>IFERROR(__xludf.DUMMYFUNCTION("""COMPUTED_VALUE"""),"NO SALARY DATA")</f>
        <v>NO SALARY DATA</v>
      </c>
      <c r="F95" s="7" t="str">
        <f>IFERROR(__xludf.DUMMYFUNCTION("""COMPUTED_VALUE"""),"No salary data")</f>
        <v>No salary data</v>
      </c>
      <c r="G95" s="7" t="str">
        <f>IFERROR(__xludf.DUMMYFUNCTION("""COMPUTED_VALUE"""),"SQL, Excel, Git")</f>
        <v>SQL, Excel, Git</v>
      </c>
      <c r="H95" s="7" t="str">
        <f>IFERROR(__xludf.DUMMYFUNCTION("""COMPUTED_VALUE"""),"Full-Time")</f>
        <v>Full-Time</v>
      </c>
      <c r="I95" s="7" t="str">
        <f>IFERROR(__xludf.DUMMYFUNCTION("""COMPUTED_VALUE"""),"4,1")</f>
        <v>4,1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 t="str">
        <f>IFERROR(__xludf.DUMMYFUNCTION("""COMPUTED_VALUE"""),"6 days ago")</f>
        <v>6 days ago</v>
      </c>
      <c r="B96" s="7" t="str">
        <f>IFERROR(__xludf.DUMMYFUNCTION("""COMPUTED_VALUE"""),"Valuation Specialist (f/m/d)")</f>
        <v>Valuation Specialist (f/m/d)</v>
      </c>
      <c r="C96" s="7" t="str">
        <f>IFERROR(__xludf.DUMMYFUNCTION("""COMPUTED_VALUE"""),"Frankfurt am Main")</f>
        <v>Frankfurt am Main</v>
      </c>
      <c r="D96" s="7" t="str">
        <f>IFERROR(__xludf.DUMMYFUNCTION("""COMPUTED_VALUE"""),"Allianz Global Investors")</f>
        <v>Allianz Global Investors</v>
      </c>
      <c r="E96" s="7" t="str">
        <f>IFERROR(__xludf.DUMMYFUNCTION("""COMPUTED_VALUE"""),"NO SALARY DATA")</f>
        <v>NO SALARY DATA</v>
      </c>
      <c r="F96" s="7" t="str">
        <f>IFERROR(__xludf.DUMMYFUNCTION("""COMPUTED_VALUE"""),"No salary data")</f>
        <v>No salary data</v>
      </c>
      <c r="G96" s="7" t="str">
        <f>IFERROR(__xludf.DUMMYFUNCTION("""COMPUTED_VALUE"""),"Python, SQL, Excel, Statistic, Agile")</f>
        <v>Python, SQL, Excel, Statistic, Agile</v>
      </c>
      <c r="H96" s="7" t="str">
        <f>IFERROR(__xludf.DUMMYFUNCTION("""COMPUTED_VALUE"""),"No job type data")</f>
        <v>No job type data</v>
      </c>
      <c r="I96" s="7" t="str">
        <f>IFERROR(__xludf.DUMMYFUNCTION("""COMPUTED_VALUE"""),"3,9")</f>
        <v>3,9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 t="str">
        <f>IFERROR(__xludf.DUMMYFUNCTION("""COMPUTED_VALUE"""),"More than 30 days ago")</f>
        <v>More than 30 days ago</v>
      </c>
      <c r="B97" s="7" t="str">
        <f>IFERROR(__xludf.DUMMYFUNCTION("""COMPUTED_VALUE"""),"Marketing Web Data Analyst (w/m/d)")</f>
        <v>Marketing Web Data Analyst (w/m/d)</v>
      </c>
      <c r="C97" s="7" t="str">
        <f>IFERROR(__xludf.DUMMYFUNCTION("""COMPUTED_VALUE"""),"Berlin")</f>
        <v>Berlin</v>
      </c>
      <c r="D97" s="7" t="str">
        <f>IFERROR(__xludf.DUMMYFUNCTION("""COMPUTED_VALUE"""),"Sunday Natural Products GmbH")</f>
        <v>Sunday Natural Products GmbH</v>
      </c>
      <c r="E97" s="7" t="str">
        <f>IFERROR(__xludf.DUMMYFUNCTION("""COMPUTED_VALUE"""),"NO SALARY DATA")</f>
        <v>NO SALARY DATA</v>
      </c>
      <c r="F97" s="7" t="str">
        <f>IFERROR(__xludf.DUMMYFUNCTION("""COMPUTED_VALUE"""),"No salary data")</f>
        <v>No salary data</v>
      </c>
      <c r="G97" s="7" t="str">
        <f>IFERROR(__xludf.DUMMYFUNCTION("""COMPUTED_VALUE"""),"Python, SQL, Excel, Statistic")</f>
        <v>Python, SQL, Excel, Statistic</v>
      </c>
      <c r="H97" s="7" t="str">
        <f>IFERROR(__xludf.DUMMYFUNCTION("""COMPUTED_VALUE"""),"No job type data")</f>
        <v>No job type data</v>
      </c>
      <c r="I97" s="7" t="str">
        <f>IFERROR(__xludf.DUMMYFUNCTION("""COMPUTED_VALUE"""),"3,5")</f>
        <v>3,5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 t="str">
        <f>IFERROR(__xludf.DUMMYFUNCTION("""COMPUTED_VALUE"""),"More than 30 days ago")</f>
        <v>More than 30 days ago</v>
      </c>
      <c r="B98" s="7" t="str">
        <f>IFERROR(__xludf.DUMMYFUNCTION("""COMPUTED_VALUE"""),"Business Data Architect (w/m/d)")</f>
        <v>Business Data Architect (w/m/d)</v>
      </c>
      <c r="C98" s="7" t="str">
        <f>IFERROR(__xludf.DUMMYFUNCTION("""COMPUTED_VALUE"""),"Igersheim")</f>
        <v>Igersheim</v>
      </c>
      <c r="D98" s="7" t="str">
        <f>IFERROR(__xludf.DUMMYFUNCTION("""COMPUTED_VALUE"""),"WITTENSTEIN SE")</f>
        <v>WITTENSTEIN SE</v>
      </c>
      <c r="E98" s="7" t="str">
        <f>IFERROR(__xludf.DUMMYFUNCTION("""COMPUTED_VALUE"""),"NO SALARY DATA")</f>
        <v>NO SALARY DATA</v>
      </c>
      <c r="F98" s="7" t="str">
        <f>IFERROR(__xludf.DUMMYFUNCTION("""COMPUTED_VALUE"""),"No salary data")</f>
        <v>No salary data</v>
      </c>
      <c r="G98" s="7" t="str">
        <f>IFERROR(__xludf.DUMMYFUNCTION("""COMPUTED_VALUE"""),"Excel")</f>
        <v>Excel</v>
      </c>
      <c r="H98" s="7" t="str">
        <f>IFERROR(__xludf.DUMMYFUNCTION("""COMPUTED_VALUE"""),"No job type data")</f>
        <v>No job type data</v>
      </c>
      <c r="I98" s="7" t="str">
        <f>IFERROR(__xludf.DUMMYFUNCTION("""COMPUTED_VALUE"""),"4,0")</f>
        <v>4,0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 t="str">
        <f>IFERROR(__xludf.DUMMYFUNCTION("""COMPUTED_VALUE"""),"13 days ago")</f>
        <v>13 days ago</v>
      </c>
      <c r="B99" s="7" t="str">
        <f>IFERROR(__xludf.DUMMYFUNCTION("""COMPUTED_VALUE"""),"Specialist for Customs classification &amp; Master data analyst...")</f>
        <v>Specialist for Customs classification &amp; Master data analyst...</v>
      </c>
      <c r="C99" s="7" t="str">
        <f>IFERROR(__xludf.DUMMYFUNCTION("""COMPUTED_VALUE"""),"Jüchen")</f>
        <v>Jüchen</v>
      </c>
      <c r="D99" s="7" t="str">
        <f>IFERROR(__xludf.DUMMYFUNCTION("""COMPUTED_VALUE"""),"3M")</f>
        <v>3M</v>
      </c>
      <c r="E99" s="7" t="str">
        <f>IFERROR(__xludf.DUMMYFUNCTION("""COMPUTED_VALUE"""),"NO SALARY DATA")</f>
        <v>NO SALARY DATA</v>
      </c>
      <c r="F99" s="7" t="str">
        <f>IFERROR(__xludf.DUMMYFUNCTION("""COMPUTED_VALUE"""),"No salary data")</f>
        <v>No salary data</v>
      </c>
      <c r="G99" s="7" t="str">
        <f>IFERROR(__xludf.DUMMYFUNCTION("""COMPUTED_VALUE"""),"Excel")</f>
        <v>Excel</v>
      </c>
      <c r="H99" s="7" t="str">
        <f>IFERROR(__xludf.DUMMYFUNCTION("""COMPUTED_VALUE"""),"No job type data")</f>
        <v>No job type data</v>
      </c>
      <c r="I99" s="7" t="str">
        <f>IFERROR(__xludf.DUMMYFUNCTION("""COMPUTED_VALUE"""),"4,0")</f>
        <v>4,0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 t="str">
        <f>IFERROR(__xludf.DUMMYFUNCTION("""COMPUTED_VALUE"""),"More than 30 days ago")</f>
        <v>More than 30 days ago</v>
      </c>
      <c r="B100" s="7" t="str">
        <f>IFERROR(__xludf.DUMMYFUNCTION("""COMPUTED_VALUE"""),"Cloud Data Warehouse Engineer, Google Cloud Professional Ser...")</f>
        <v>Cloud Data Warehouse Engineer, Google Cloud Professional Ser...</v>
      </c>
      <c r="C100" s="7" t="str">
        <f>IFERROR(__xludf.DUMMYFUNCTION("""COMPUTED_VALUE"""),"München")</f>
        <v>München</v>
      </c>
      <c r="D100" s="7" t="str">
        <f>IFERROR(__xludf.DUMMYFUNCTION("""COMPUTED_VALUE"""),"Google")</f>
        <v>Google</v>
      </c>
      <c r="E100" s="7" t="str">
        <f>IFERROR(__xludf.DUMMYFUNCTION("""COMPUTED_VALUE"""),"NO SALARY DATA")</f>
        <v>NO SALARY DATA</v>
      </c>
      <c r="F100" s="7" t="str">
        <f>IFERROR(__xludf.DUMMYFUNCTION("""COMPUTED_VALUE"""),"No salary data")</f>
        <v>No salary data</v>
      </c>
      <c r="G100" s="7" t="str">
        <f>IFERROR(__xludf.DUMMYFUNCTION("""COMPUTED_VALUE"""),"Python, SQL, Excel, Machine Learning")</f>
        <v>Python, SQL, Excel, Machine Learning</v>
      </c>
      <c r="H100" s="7" t="str">
        <f>IFERROR(__xludf.DUMMYFUNCTION("""COMPUTED_VALUE"""),"No job type data")</f>
        <v>No job type data</v>
      </c>
      <c r="I100" s="7" t="str">
        <f>IFERROR(__xludf.DUMMYFUNCTION("""COMPUTED_VALUE"""),"4,3")</f>
        <v>4,3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 t="str">
        <f>IFERROR(__xludf.DUMMYFUNCTION("""COMPUTED_VALUE"""),"More than 30 days ago")</f>
        <v>More than 30 days ago</v>
      </c>
      <c r="B101" s="7" t="str">
        <f>IFERROR(__xludf.DUMMYFUNCTION("""COMPUTED_VALUE"""),"Consultant (m/w/d) Business Intelligence / Big Data im Berei...")</f>
        <v>Consultant (m/w/d) Business Intelligence / Big Data im Berei...</v>
      </c>
      <c r="C101" s="7" t="str">
        <f>IFERROR(__xludf.DUMMYFUNCTION("""COMPUTED_VALUE"""),"Böblingen")</f>
        <v>Böblingen</v>
      </c>
      <c r="D101" s="7" t="str">
        <f>IFERROR(__xludf.DUMMYFUNCTION("""COMPUTED_VALUE"""),"STAR COOPERATION GmbH")</f>
        <v>STAR COOPERATION GmbH</v>
      </c>
      <c r="E101" s="7" t="str">
        <f>IFERROR(__xludf.DUMMYFUNCTION("""COMPUTED_VALUE"""),"NO SALARY DATA")</f>
        <v>NO SALARY DATA</v>
      </c>
      <c r="F101" s="7" t="str">
        <f>IFERROR(__xludf.DUMMYFUNCTION("""COMPUTED_VALUE"""),"No salary data")</f>
        <v>No salary data</v>
      </c>
      <c r="G101" s="7" t="str">
        <f>IFERROR(__xludf.DUMMYFUNCTION("""COMPUTED_VALUE"""),"SQL, Excel")</f>
        <v>SQL, Excel</v>
      </c>
      <c r="H101" s="7" t="str">
        <f>IFERROR(__xludf.DUMMYFUNCTION("""COMPUTED_VALUE"""),"No job type data")</f>
        <v>No job type data</v>
      </c>
      <c r="I101" s="7" t="str">
        <f>IFERROR(__xludf.DUMMYFUNCTION("""COMPUTED_VALUE"""),"4,0")</f>
        <v>4,0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 t="str">
        <f>IFERROR(__xludf.DUMMYFUNCTION("""COMPUTED_VALUE"""),"5 days ago")</f>
        <v>5 days ago</v>
      </c>
      <c r="B102" s="7" t="str">
        <f>IFERROR(__xludf.DUMMYFUNCTION("""COMPUTED_VALUE"""),"e-Commerce Data Steward (m/w/d)")</f>
        <v>e-Commerce Data Steward (m/w/d)</v>
      </c>
      <c r="C102" s="7" t="str">
        <f>IFERROR(__xludf.DUMMYFUNCTION("""COMPUTED_VALUE"""),"Stuttgart")</f>
        <v>Stuttgart</v>
      </c>
      <c r="D102" s="7" t="str">
        <f>IFERROR(__xludf.DUMMYFUNCTION("""COMPUTED_VALUE"""),"Da Vinci Engineering GmbH")</f>
        <v>Da Vinci Engineering GmbH</v>
      </c>
      <c r="E102" s="7" t="str">
        <f>IFERROR(__xludf.DUMMYFUNCTION("""COMPUTED_VALUE"""),"NO SALARY DATA")</f>
        <v>NO SALARY DATA</v>
      </c>
      <c r="F102" s="7" t="str">
        <f>IFERROR(__xludf.DUMMYFUNCTION("""COMPUTED_VALUE"""),"No salary data")</f>
        <v>No salary data</v>
      </c>
      <c r="G102" s="7" t="str">
        <f>IFERROR(__xludf.DUMMYFUNCTION("""COMPUTED_VALUE"""),"SQL, Excel")</f>
        <v>SQL, Excel</v>
      </c>
      <c r="H102" s="7" t="str">
        <f>IFERROR(__xludf.DUMMYFUNCTION("""COMPUTED_VALUE"""),"No job type data")</f>
        <v>No job type data</v>
      </c>
      <c r="I102" s="7" t="str">
        <f>IFERROR(__xludf.DUMMYFUNCTION("""COMPUTED_VALUE"""),"4,0")</f>
        <v>4,0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 t="str">
        <f>IFERROR(__xludf.DUMMYFUNCTION("""COMPUTED_VALUE"""),"26 days ago")</f>
        <v>26 days ago</v>
      </c>
      <c r="B103" s="7" t="str">
        <f>IFERROR(__xludf.DUMMYFUNCTION("""COMPUTED_VALUE"""),"Data Pipeline Engineer (m/f/x)")</f>
        <v>Data Pipeline Engineer (m/f/x)</v>
      </c>
      <c r="C103" s="7" t="str">
        <f>IFERROR(__xludf.DUMMYFUNCTION("""COMPUTED_VALUE"""),"München")</f>
        <v>München</v>
      </c>
      <c r="D103" s="7" t="str">
        <f>IFERROR(__xludf.DUMMYFUNCTION("""COMPUTED_VALUE"""),"Celonis")</f>
        <v>Celonis</v>
      </c>
      <c r="E103" s="7" t="str">
        <f>IFERROR(__xludf.DUMMYFUNCTION("""COMPUTED_VALUE"""),"NO SALARY DATA")</f>
        <v>NO SALARY DATA</v>
      </c>
      <c r="F103" s="7" t="str">
        <f>IFERROR(__xludf.DUMMYFUNCTION("""COMPUTED_VALUE"""),"No salary data")</f>
        <v>No salary data</v>
      </c>
      <c r="G103" s="7" t="str">
        <f>IFERROR(__xludf.DUMMYFUNCTION("""COMPUTED_VALUE"""),"Python, SQL, Excel, Agile")</f>
        <v>Python, SQL, Excel, Agile</v>
      </c>
      <c r="H103" s="7" t="str">
        <f>IFERROR(__xludf.DUMMYFUNCTION("""COMPUTED_VALUE"""),"No job type data")</f>
        <v>No job type data</v>
      </c>
      <c r="I103" s="7" t="str">
        <f>IFERROR(__xludf.DUMMYFUNCTION("""COMPUTED_VALUE"""),"4,3")</f>
        <v>4,3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 t="str">
        <f>IFERROR(__xludf.DUMMYFUNCTION("""COMPUTED_VALUE"""),"More than 30 days ago")</f>
        <v>More than 30 days ago</v>
      </c>
      <c r="B104" s="7" t="str">
        <f>IFERROR(__xludf.DUMMYFUNCTION("""COMPUTED_VALUE"""),"Data Centre Technician (m/f/d) – Career Transition Programme")</f>
        <v>Data Centre Technician (m/f/d) – Career Transition Programme</v>
      </c>
      <c r="C104" s="7" t="str">
        <f>IFERROR(__xludf.DUMMYFUNCTION("""COMPUTED_VALUE"""),"Frankfurt am Main")</f>
        <v>Frankfurt am Main</v>
      </c>
      <c r="D104" s="7" t="str">
        <f>IFERROR(__xludf.DUMMYFUNCTION("""COMPUTED_VALUE"""),"Equinix")</f>
        <v>Equinix</v>
      </c>
      <c r="E104" s="7" t="str">
        <f>IFERROR(__xludf.DUMMYFUNCTION("""COMPUTED_VALUE"""),"NO SALARY DATA")</f>
        <v>NO SALARY DATA</v>
      </c>
      <c r="F104" s="7" t="str">
        <f>IFERROR(__xludf.DUMMYFUNCTION("""COMPUTED_VALUE"""),"No salary data")</f>
        <v>No salary data</v>
      </c>
      <c r="G104" s="7" t="str">
        <f>IFERROR(__xludf.DUMMYFUNCTION("""COMPUTED_VALUE"""),"Excel")</f>
        <v>Excel</v>
      </c>
      <c r="H104" s="7" t="str">
        <f>IFERROR(__xludf.DUMMYFUNCTION("""COMPUTED_VALUE"""),"No job type data")</f>
        <v>No job type data</v>
      </c>
      <c r="I104" s="7" t="str">
        <f>IFERROR(__xludf.DUMMYFUNCTION("""COMPUTED_VALUE"""),"3,8")</f>
        <v>3,8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 t="str">
        <f>IFERROR(__xludf.DUMMYFUNCTION("""COMPUTED_VALUE"""),"More than 30 days ago")</f>
        <v>More than 30 days ago</v>
      </c>
      <c r="B105" s="7" t="str">
        <f>IFERROR(__xludf.DUMMYFUNCTION("""COMPUTED_VALUE"""),"Machine Learning Engineer (f/m/x)")</f>
        <v>Machine Learning Engineer (f/m/x)</v>
      </c>
      <c r="C105" s="7" t="str">
        <f>IFERROR(__xludf.DUMMYFUNCTION("""COMPUTED_VALUE"""),"Berlin")</f>
        <v>Berlin</v>
      </c>
      <c r="D105" s="7" t="str">
        <f>IFERROR(__xludf.DUMMYFUNCTION("""COMPUTED_VALUE"""),"Zenjob")</f>
        <v>Zenjob</v>
      </c>
      <c r="E105" s="7" t="str">
        <f>IFERROR(__xludf.DUMMYFUNCTION("""COMPUTED_VALUE"""),"NO SALARY DATA")</f>
        <v>NO SALARY DATA</v>
      </c>
      <c r="F105" s="7" t="str">
        <f>IFERROR(__xludf.DUMMYFUNCTION("""COMPUTED_VALUE"""),"No salary data")</f>
        <v>No salary data</v>
      </c>
      <c r="G105" s="7" t="str">
        <f>IFERROR(__xludf.DUMMYFUNCTION("""COMPUTED_VALUE"""),"SQL, Excel, Machine Learning, Git")</f>
        <v>SQL, Excel, Machine Learning, Git</v>
      </c>
      <c r="H105" s="7" t="str">
        <f>IFERROR(__xludf.DUMMYFUNCTION("""COMPUTED_VALUE"""),"No job type data")</f>
        <v>No job type data</v>
      </c>
      <c r="I105" s="7" t="str">
        <f>IFERROR(__xludf.DUMMYFUNCTION("""COMPUTED_VALUE"""),"3,8")</f>
        <v>3,8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 t="str">
        <f>IFERROR(__xludf.DUMMYFUNCTION("""COMPUTED_VALUE"""),"More than 30 days ago")</f>
        <v>More than 30 days ago</v>
      </c>
      <c r="B106" s="7" t="str">
        <f>IFERROR(__xludf.DUMMYFUNCTION("""COMPUTED_VALUE"""),"Scientist - Data Science for Accelerator Controls")</f>
        <v>Scientist - Data Science for Accelerator Controls</v>
      </c>
      <c r="C106" s="7" t="str">
        <f>IFERROR(__xludf.DUMMYFUNCTION("""COMPUTED_VALUE"""),"Hamburg")</f>
        <v>Hamburg</v>
      </c>
      <c r="D106" s="7" t="str">
        <f>IFERROR(__xludf.DUMMYFUNCTION("""COMPUTED_VALUE"""),"Deutsches Elektronen-Synchrotron DESY")</f>
        <v>Deutsches Elektronen-Synchrotron DESY</v>
      </c>
      <c r="E106" s="7" t="str">
        <f>IFERROR(__xludf.DUMMYFUNCTION("""COMPUTED_VALUE"""),"NO SALARY DATA")</f>
        <v>NO SALARY DATA</v>
      </c>
      <c r="F106" s="7" t="str">
        <f>IFERROR(__xludf.DUMMYFUNCTION("""COMPUTED_VALUE"""),"No salary data")</f>
        <v>No salary data</v>
      </c>
      <c r="G106" s="7" t="str">
        <f>IFERROR(__xludf.DUMMYFUNCTION("""COMPUTED_VALUE"""),"Excel, Machine Learning")</f>
        <v>Excel, Machine Learning</v>
      </c>
      <c r="H106" s="7" t="str">
        <f>IFERROR(__xludf.DUMMYFUNCTION("""COMPUTED_VALUE"""),"Part-Time")</f>
        <v>Part-Time</v>
      </c>
      <c r="I106" s="7" t="str">
        <f>IFERROR(__xludf.DUMMYFUNCTION("""COMPUTED_VALUE"""),"3,8")</f>
        <v>3,8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 t="str">
        <f>IFERROR(__xludf.DUMMYFUNCTION("""COMPUTED_VALUE"""),"26 days ago")</f>
        <v>26 days ago</v>
      </c>
      <c r="B107" s="7" t="str">
        <f>IFERROR(__xludf.DUMMYFUNCTION("""COMPUTED_VALUE"""),"Data Pipeline Engineer (m/f/x)")</f>
        <v>Data Pipeline Engineer (m/f/x)</v>
      </c>
      <c r="C107" s="7" t="str">
        <f>IFERROR(__xludf.DUMMYFUNCTION("""COMPUTED_VALUE"""),"München")</f>
        <v>München</v>
      </c>
      <c r="D107" s="7" t="str">
        <f>IFERROR(__xludf.DUMMYFUNCTION("""COMPUTED_VALUE"""),"Celonis SE")</f>
        <v>Celonis SE</v>
      </c>
      <c r="E107" s="7" t="str">
        <f>IFERROR(__xludf.DUMMYFUNCTION("""COMPUTED_VALUE"""),"NO SALARY DATA")</f>
        <v>NO SALARY DATA</v>
      </c>
      <c r="F107" s="7" t="str">
        <f>IFERROR(__xludf.DUMMYFUNCTION("""COMPUTED_VALUE"""),"No salary data")</f>
        <v>No salary data</v>
      </c>
      <c r="G107" s="7" t="str">
        <f>IFERROR(__xludf.DUMMYFUNCTION("""COMPUTED_VALUE"""),"Python, SQL, Excel, Agile")</f>
        <v>Python, SQL, Excel, Agile</v>
      </c>
      <c r="H107" s="7" t="str">
        <f>IFERROR(__xludf.DUMMYFUNCTION("""COMPUTED_VALUE"""),"No job type data")</f>
        <v>No job type data</v>
      </c>
      <c r="I107" s="7" t="str">
        <f>IFERROR(__xludf.DUMMYFUNCTION("""COMPUTED_VALUE"""),"4,3")</f>
        <v>4,3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 t="str">
        <f>IFERROR(__xludf.DUMMYFUNCTION("""COMPUTED_VALUE"""),"More than 30 days ago")</f>
        <v>More than 30 days ago</v>
      </c>
      <c r="B108" s="7" t="str">
        <f>IFERROR(__xludf.DUMMYFUNCTION("""COMPUTED_VALUE"""),"Data Engineer - Data Abstraction &amp; Provisioning (m/f/d)")</f>
        <v>Data Engineer - Data Abstraction &amp; Provisioning (m/f/d)</v>
      </c>
      <c r="C108" s="7" t="str">
        <f>IFERROR(__xludf.DUMMYFUNCTION("""COMPUTED_VALUE"""),"München")</f>
        <v>München</v>
      </c>
      <c r="D108" s="7" t="str">
        <f>IFERROR(__xludf.DUMMYFUNCTION("""COMPUTED_VALUE"""),"Knorr-Bremse")</f>
        <v>Knorr-Bremse</v>
      </c>
      <c r="E108" s="7" t="str">
        <f>IFERROR(__xludf.DUMMYFUNCTION("""COMPUTED_VALUE"""),"NO SALARY DATA")</f>
        <v>NO SALARY DATA</v>
      </c>
      <c r="F108" s="7" t="str">
        <f>IFERROR(__xludf.DUMMYFUNCTION("""COMPUTED_VALUE"""),"No salary data")</f>
        <v>No salary data</v>
      </c>
      <c r="G108" s="7" t="str">
        <f>IFERROR(__xludf.DUMMYFUNCTION("""COMPUTED_VALUE"""),"Excel")</f>
        <v>Excel</v>
      </c>
      <c r="H108" s="7" t="str">
        <f>IFERROR(__xludf.DUMMYFUNCTION("""COMPUTED_VALUE"""),"No job type data")</f>
        <v>No job type data</v>
      </c>
      <c r="I108" s="7" t="str">
        <f>IFERROR(__xludf.DUMMYFUNCTION("""COMPUTED_VALUE"""),"3,7")</f>
        <v>3,7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 t="str">
        <f>IFERROR(__xludf.DUMMYFUNCTION("""COMPUTED_VALUE"""),"5 days ago")</f>
        <v>5 days ago</v>
      </c>
      <c r="B109" s="7" t="str">
        <f>IFERROR(__xludf.DUMMYFUNCTION("""COMPUTED_VALUE"""),"Senior Data Engineer - Recommendations (f/m/d)")</f>
        <v>Senior Data Engineer - Recommendations (f/m/d)</v>
      </c>
      <c r="C109" s="7" t="str">
        <f>IFERROR(__xludf.DUMMYFUNCTION("""COMPUTED_VALUE"""),"Berlin")</f>
        <v>Berlin</v>
      </c>
      <c r="D109" s="7" t="str">
        <f>IFERROR(__xludf.DUMMYFUNCTION("""COMPUTED_VALUE"""),"Delivery Hero")</f>
        <v>Delivery Hero</v>
      </c>
      <c r="E109" s="7" t="str">
        <f>IFERROR(__xludf.DUMMYFUNCTION("""COMPUTED_VALUE"""),"NO SALARY DATA")</f>
        <v>NO SALARY DATA</v>
      </c>
      <c r="F109" s="7" t="str">
        <f>IFERROR(__xludf.DUMMYFUNCTION("""COMPUTED_VALUE"""),"No salary data")</f>
        <v>No salary data</v>
      </c>
      <c r="G109" s="7" t="str">
        <f>IFERROR(__xludf.DUMMYFUNCTION("""COMPUTED_VALUE"""),"SQL, Excel, Machine Learning, Git")</f>
        <v>SQL, Excel, Machine Learning, Git</v>
      </c>
      <c r="H109" s="7" t="str">
        <f>IFERROR(__xludf.DUMMYFUNCTION("""COMPUTED_VALUE"""),"No job type data")</f>
        <v>No job type data</v>
      </c>
      <c r="I109" s="7" t="str">
        <f>IFERROR(__xludf.DUMMYFUNCTION("""COMPUTED_VALUE"""),"3,7")</f>
        <v>3,7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 t="str">
        <f>IFERROR(__xludf.DUMMYFUNCTION("""COMPUTED_VALUE"""),"More than 30 days ago")</f>
        <v>More than 30 days ago</v>
      </c>
      <c r="B110" s="7" t="str">
        <f>IFERROR(__xludf.DUMMYFUNCTION("""COMPUTED_VALUE"""),"Data Scientist Automotive EMEA (m/f/d)")</f>
        <v>Data Scientist Automotive EMEA (m/f/d)</v>
      </c>
      <c r="C110" s="7" t="str">
        <f>IFERROR(__xludf.DUMMYFUNCTION("""COMPUTED_VALUE"""),"Speyer")</f>
        <v>Speyer</v>
      </c>
      <c r="D110" s="7" t="str">
        <f>IFERROR(__xludf.DUMMYFUNCTION("""COMPUTED_VALUE"""),"TE Connectivity")</f>
        <v>TE Connectivity</v>
      </c>
      <c r="E110" s="7" t="str">
        <f>IFERROR(__xludf.DUMMYFUNCTION("""COMPUTED_VALUE"""),"NO SALARY DATA")</f>
        <v>NO SALARY DATA</v>
      </c>
      <c r="F110" s="7" t="str">
        <f>IFERROR(__xludf.DUMMYFUNCTION("""COMPUTED_VALUE"""),"No salary data")</f>
        <v>No salary data</v>
      </c>
      <c r="G110" s="7" t="str">
        <f>IFERROR(__xludf.DUMMYFUNCTION("""COMPUTED_VALUE"""),"Python, Tableau, Excel, Machine Learning, Deep Learning, Statistic, Git")</f>
        <v>Python, Tableau, Excel, Machine Learning, Deep Learning, Statistic, Git</v>
      </c>
      <c r="H110" s="7" t="str">
        <f>IFERROR(__xludf.DUMMYFUNCTION("""COMPUTED_VALUE"""),"No job type data")</f>
        <v>No job type data</v>
      </c>
      <c r="I110" s="7" t="str">
        <f>IFERROR(__xludf.DUMMYFUNCTION("""COMPUTED_VALUE"""),"3,8")</f>
        <v>3,8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 t="str">
        <f>IFERROR(__xludf.DUMMYFUNCTION("""COMPUTED_VALUE"""),"26 days ago")</f>
        <v>26 days ago</v>
      </c>
      <c r="B111" s="7" t="str">
        <f>IFERROR(__xludf.DUMMYFUNCTION("""COMPUTED_VALUE"""),"Data Pipeline Engineer (m/f/x)")</f>
        <v>Data Pipeline Engineer (m/f/x)</v>
      </c>
      <c r="C111" s="7" t="str">
        <f>IFERROR(__xludf.DUMMYFUNCTION("""COMPUTED_VALUE"""),"München")</f>
        <v>München</v>
      </c>
      <c r="D111" s="7" t="str">
        <f>IFERROR(__xludf.DUMMYFUNCTION("""COMPUTED_VALUE"""),"Celonis")</f>
        <v>Celonis</v>
      </c>
      <c r="E111" s="7" t="str">
        <f>IFERROR(__xludf.DUMMYFUNCTION("""COMPUTED_VALUE"""),"NO SALARY DATA")</f>
        <v>NO SALARY DATA</v>
      </c>
      <c r="F111" s="7" t="str">
        <f>IFERROR(__xludf.DUMMYFUNCTION("""COMPUTED_VALUE"""),"No salary data")</f>
        <v>No salary data</v>
      </c>
      <c r="G111" s="7" t="str">
        <f>IFERROR(__xludf.DUMMYFUNCTION("""COMPUTED_VALUE"""),"Python, SQL, Excel, Agile")</f>
        <v>Python, SQL, Excel, Agile</v>
      </c>
      <c r="H111" s="7" t="str">
        <f>IFERROR(__xludf.DUMMYFUNCTION("""COMPUTED_VALUE"""),"No job type data")</f>
        <v>No job type data</v>
      </c>
      <c r="I111" s="7" t="str">
        <f>IFERROR(__xludf.DUMMYFUNCTION("""COMPUTED_VALUE"""),"4,3")</f>
        <v>4,3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 t="str">
        <f>IFERROR(__xludf.DUMMYFUNCTION("""COMPUTED_VALUE"""),"More than 30 days ago")</f>
        <v>More than 30 days ago</v>
      </c>
      <c r="B112" s="7" t="str">
        <f>IFERROR(__xludf.DUMMYFUNCTION("""COMPUTED_VALUE"""),"Statistician/Data Scientist")</f>
        <v>Statistician/Data Scientist</v>
      </c>
      <c r="C112" s="7" t="str">
        <f>IFERROR(__xludf.DUMMYFUNCTION("""COMPUTED_VALUE"""),"München")</f>
        <v>München</v>
      </c>
      <c r="D112" s="7" t="str">
        <f>IFERROR(__xludf.DUMMYFUNCTION("""COMPUTED_VALUE"""),"GAF AG")</f>
        <v>GAF AG</v>
      </c>
      <c r="E112" s="7" t="str">
        <f>IFERROR(__xludf.DUMMYFUNCTION("""COMPUTED_VALUE"""),"NO SALARY DATA")</f>
        <v>NO SALARY DATA</v>
      </c>
      <c r="F112" s="7" t="str">
        <f>IFERROR(__xludf.DUMMYFUNCTION("""COMPUTED_VALUE"""),"No salary data")</f>
        <v>No salary data</v>
      </c>
      <c r="G112" s="7" t="str">
        <f>IFERROR(__xludf.DUMMYFUNCTION("""COMPUTED_VALUE"""),"Excel, Statistic, Agile")</f>
        <v>Excel, Statistic, Agile</v>
      </c>
      <c r="H112" s="7" t="str">
        <f>IFERROR(__xludf.DUMMYFUNCTION("""COMPUTED_VALUE"""),"No job type data")</f>
        <v>No job type data</v>
      </c>
      <c r="I112" s="7" t="str">
        <f>IFERROR(__xludf.DUMMYFUNCTION("""COMPUTED_VALUE"""),"3,0")</f>
        <v>3,0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 t="str">
        <f>IFERROR(__xludf.DUMMYFUNCTION("""COMPUTED_VALUE"""),"4 days ago")</f>
        <v>4 days ago</v>
      </c>
      <c r="B113" s="7" t="str">
        <f>IFERROR(__xludf.DUMMYFUNCTION("""COMPUTED_VALUE"""),"Strategic Marketing Analyst (m/f/x)")</f>
        <v>Strategic Marketing Analyst (m/f/x)</v>
      </c>
      <c r="C113" s="7" t="str">
        <f>IFERROR(__xludf.DUMMYFUNCTION("""COMPUTED_VALUE"""),"Bonn")</f>
        <v>Bonn</v>
      </c>
      <c r="D113" s="7" t="str">
        <f>IFERROR(__xludf.DUMMYFUNCTION("""COMPUTED_VALUE"""),"DHL Supply Chain")</f>
        <v>DHL Supply Chain</v>
      </c>
      <c r="E113" s="7" t="str">
        <f>IFERROR(__xludf.DUMMYFUNCTION("""COMPUTED_VALUE"""),"NO SALARY DATA")</f>
        <v>NO SALARY DATA</v>
      </c>
      <c r="F113" s="7" t="str">
        <f>IFERROR(__xludf.DUMMYFUNCTION("""COMPUTED_VALUE"""),"No salary data")</f>
        <v>No salary data</v>
      </c>
      <c r="G113" s="7" t="str">
        <f>IFERROR(__xludf.DUMMYFUNCTION("""COMPUTED_VALUE"""),"Python, Tableau, Excel, Statistic")</f>
        <v>Python, Tableau, Excel, Statistic</v>
      </c>
      <c r="H113" s="7" t="str">
        <f>IFERROR(__xludf.DUMMYFUNCTION("""COMPUTED_VALUE"""),"No job type data")</f>
        <v>No job type data</v>
      </c>
      <c r="I113" s="7" t="str">
        <f>IFERROR(__xludf.DUMMYFUNCTION("""COMPUTED_VALUE"""),"3,7")</f>
        <v>3,7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 t="str">
        <f>IFERROR(__xludf.DUMMYFUNCTION("""COMPUTED_VALUE"""),"5 days ago")</f>
        <v>5 days ago</v>
      </c>
      <c r="B114" s="7" t="str">
        <f>IFERROR(__xludf.DUMMYFUNCTION("""COMPUTED_VALUE"""),"Business Intelligence Engineer - Data Insights")</f>
        <v>Business Intelligence Engineer - Data Insights</v>
      </c>
      <c r="C114" s="7" t="str">
        <f>IFERROR(__xludf.DUMMYFUNCTION("""COMPUTED_VALUE"""),"Berlin")</f>
        <v>Berlin</v>
      </c>
      <c r="D114" s="7" t="str">
        <f>IFERROR(__xludf.DUMMYFUNCTION("""COMPUTED_VALUE"""),"Zalando SE")</f>
        <v>Zalando SE</v>
      </c>
      <c r="E114" s="7" t="str">
        <f>IFERROR(__xludf.DUMMYFUNCTION("""COMPUTED_VALUE"""),"NO SALARY DATA")</f>
        <v>NO SALARY DATA</v>
      </c>
      <c r="F114" s="7" t="str">
        <f>IFERROR(__xludf.DUMMYFUNCTION("""COMPUTED_VALUE"""),"No salary data")</f>
        <v>No salary data</v>
      </c>
      <c r="G114" s="7" t="str">
        <f>IFERROR(__xludf.DUMMYFUNCTION("""COMPUTED_VALUE"""),"SQL, Excel, Git")</f>
        <v>SQL, Excel, Git</v>
      </c>
      <c r="H114" s="7" t="str">
        <f>IFERROR(__xludf.DUMMYFUNCTION("""COMPUTED_VALUE"""),"Volunteer")</f>
        <v>Volunteer</v>
      </c>
      <c r="I114" s="7" t="str">
        <f>IFERROR(__xludf.DUMMYFUNCTION("""COMPUTED_VALUE"""),"3,1")</f>
        <v>3,1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 t="str">
        <f>IFERROR(__xludf.DUMMYFUNCTION("""COMPUTED_VALUE"""),"More than 30 days ago")</f>
        <v>More than 30 days ago</v>
      </c>
      <c r="B115" s="7" t="str">
        <f>IFERROR(__xludf.DUMMYFUNCTION("""COMPUTED_VALUE"""),"Product Owner Data Science (m/w/d)")</f>
        <v>Product Owner Data Science (m/w/d)</v>
      </c>
      <c r="C115" s="7" t="str">
        <f>IFERROR(__xludf.DUMMYFUNCTION("""COMPUTED_VALUE"""),"Münster")</f>
        <v>Münster</v>
      </c>
      <c r="D115" s="7" t="str">
        <f>IFERROR(__xludf.DUMMYFUNCTION("""COMPUTED_VALUE"""),"flaschenpost SE")</f>
        <v>flaschenpost SE</v>
      </c>
      <c r="E115" s="7" t="str">
        <f>IFERROR(__xludf.DUMMYFUNCTION("""COMPUTED_VALUE"""),"NO SALARY DATA")</f>
        <v>NO SALARY DATA</v>
      </c>
      <c r="F115" s="7" t="str">
        <f>IFERROR(__xludf.DUMMYFUNCTION("""COMPUTED_VALUE"""),"No salary data")</f>
        <v>No salary data</v>
      </c>
      <c r="G115" s="7" t="str">
        <f>IFERROR(__xludf.DUMMYFUNCTION("""COMPUTED_VALUE"""),"SQL, Excel")</f>
        <v>SQL, Excel</v>
      </c>
      <c r="H115" s="7" t="str">
        <f>IFERROR(__xludf.DUMMYFUNCTION("""COMPUTED_VALUE"""),"No job type data")</f>
        <v>No job type data</v>
      </c>
      <c r="I115" s="7" t="str">
        <f>IFERROR(__xludf.DUMMYFUNCTION("""COMPUTED_VALUE"""),"2,2")</f>
        <v>2,2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 t="str">
        <f>IFERROR(__xludf.DUMMYFUNCTION("""COMPUTED_VALUE"""),"More than 30 days ago")</f>
        <v>More than 30 days ago</v>
      </c>
      <c r="B116" s="7" t="str">
        <f>IFERROR(__xludf.DUMMYFUNCTION("""COMPUTED_VALUE"""),"Senior Marketing Analyst (m/w/d)")</f>
        <v>Senior Marketing Analyst (m/w/d)</v>
      </c>
      <c r="C116" s="7" t="str">
        <f>IFERROR(__xludf.DUMMYFUNCTION("""COMPUTED_VALUE"""),"Münster")</f>
        <v>Münster</v>
      </c>
      <c r="D116" s="7" t="str">
        <f>IFERROR(__xludf.DUMMYFUNCTION("""COMPUTED_VALUE"""),"flaschenpost SE")</f>
        <v>flaschenpost SE</v>
      </c>
      <c r="E116" s="7" t="str">
        <f>IFERROR(__xludf.DUMMYFUNCTION("""COMPUTED_VALUE"""),"NO SALARY DATA")</f>
        <v>NO SALARY DATA</v>
      </c>
      <c r="F116" s="7" t="str">
        <f>IFERROR(__xludf.DUMMYFUNCTION("""COMPUTED_VALUE"""),"No salary data")</f>
        <v>No salary data</v>
      </c>
      <c r="G116" s="7" t="str">
        <f>IFERROR(__xludf.DUMMYFUNCTION("""COMPUTED_VALUE"""),"Python, SQL, Excel, Agile")</f>
        <v>Python, SQL, Excel, Agile</v>
      </c>
      <c r="H116" s="7" t="str">
        <f>IFERROR(__xludf.DUMMYFUNCTION("""COMPUTED_VALUE"""),"No job type data")</f>
        <v>No job type data</v>
      </c>
      <c r="I116" s="7" t="str">
        <f>IFERROR(__xludf.DUMMYFUNCTION("""COMPUTED_VALUE"""),"2,2")</f>
        <v>2,2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 t="str">
        <f>IFERROR(__xludf.DUMMYFUNCTION("""COMPUTED_VALUE"""),"More than 30 days ago")</f>
        <v>More than 30 days ago</v>
      </c>
      <c r="B117" s="7" t="str">
        <f>IFERROR(__xludf.DUMMYFUNCTION("""COMPUTED_VALUE"""),"Junior Talent im Datenmanagement (w/m/d)")</f>
        <v>Junior Talent im Datenmanagement (w/m/d)</v>
      </c>
      <c r="C117" s="7" t="str">
        <f>IFERROR(__xludf.DUMMYFUNCTION("""COMPUTED_VALUE"""),"Frankfurt am Main")</f>
        <v>Frankfurt am Main</v>
      </c>
      <c r="D117" s="7" t="str">
        <f>IFERROR(__xludf.DUMMYFUNCTION("""COMPUTED_VALUE"""),"Deutsche Bahn")</f>
        <v>Deutsche Bahn</v>
      </c>
      <c r="E117" s="7" t="str">
        <f>IFERROR(__xludf.DUMMYFUNCTION("""COMPUTED_VALUE"""),"NO SALARY DATA")</f>
        <v>NO SALARY DATA</v>
      </c>
      <c r="F117" s="7" t="str">
        <f>IFERROR(__xludf.DUMMYFUNCTION("""COMPUTED_VALUE"""),"No salary data")</f>
        <v>No salary data</v>
      </c>
      <c r="G117" s="7" t="str">
        <f>IFERROR(__xludf.DUMMYFUNCTION("""COMPUTED_VALUE"""),"SQL, Excel, Git, Agile")</f>
        <v>SQL, Excel, Git, Agile</v>
      </c>
      <c r="H117" s="7" t="str">
        <f>IFERROR(__xludf.DUMMYFUNCTION("""COMPUTED_VALUE"""),"No job type data")</f>
        <v>No job type data</v>
      </c>
      <c r="I117" s="7" t="str">
        <f>IFERROR(__xludf.DUMMYFUNCTION("""COMPUTED_VALUE"""),"3,5")</f>
        <v>3,5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 t="str">
        <f>IFERROR(__xludf.DUMMYFUNCTION("""COMPUTED_VALUE"""),"More than 30 days ago")</f>
        <v>More than 30 days ago</v>
      </c>
      <c r="B118" s="7" t="str">
        <f>IFERROR(__xludf.DUMMYFUNCTION("""COMPUTED_VALUE"""),"Data Scientist Supply Chain Management (m/w/x) in Mülheim an...")</f>
        <v>Data Scientist Supply Chain Management (m/w/x) in Mülheim an...</v>
      </c>
      <c r="C118" s="7" t="str">
        <f>IFERROR(__xludf.DUMMYFUNCTION("""COMPUTED_VALUE"""),"Deutschland")</f>
        <v>Deutschland</v>
      </c>
      <c r="D118" s="7" t="str">
        <f>IFERROR(__xludf.DUMMYFUNCTION("""COMPUTED_VALUE"""),"ALDI SÜD Dienstleistungs-GmbH &amp; Co. oHG")</f>
        <v>ALDI SÜD Dienstleistungs-GmbH &amp; Co. oHG</v>
      </c>
      <c r="E118" s="7" t="str">
        <f>IFERROR(__xludf.DUMMYFUNCTION("""COMPUTED_VALUE"""),"NO SALARY DATA")</f>
        <v>NO SALARY DATA</v>
      </c>
      <c r="F118" s="7" t="str">
        <f>IFERROR(__xludf.DUMMYFUNCTION("""COMPUTED_VALUE"""),"No salary data")</f>
        <v>No salary data</v>
      </c>
      <c r="G118" s="7" t="str">
        <f>IFERROR(__xludf.DUMMYFUNCTION("""COMPUTED_VALUE"""),"Python, SQL, Excel")</f>
        <v>Python, SQL, Excel</v>
      </c>
      <c r="H118" s="7" t="str">
        <f>IFERROR(__xludf.DUMMYFUNCTION("""COMPUTED_VALUE"""),"No job type data")</f>
        <v>No job type data</v>
      </c>
      <c r="I118" s="7" t="str">
        <f>IFERROR(__xludf.DUMMYFUNCTION("""COMPUTED_VALUE"""),"3,4")</f>
        <v>3,4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 t="str">
        <f>IFERROR(__xludf.DUMMYFUNCTION("""COMPUTED_VALUE"""),"11 days ago")</f>
        <v>11 days ago</v>
      </c>
      <c r="B119" s="7" t="str">
        <f>IFERROR(__xludf.DUMMYFUNCTION("""COMPUTED_VALUE"""),"Operation Analyst (m/f/d)")</f>
        <v>Operation Analyst (m/f/d)</v>
      </c>
      <c r="C119" s="7" t="str">
        <f>IFERROR(__xludf.DUMMYFUNCTION("""COMPUTED_VALUE"""),"Düsseldorf")</f>
        <v>Düsseldorf</v>
      </c>
      <c r="D119" s="7" t="str">
        <f>IFERROR(__xludf.DUMMYFUNCTION("""COMPUTED_VALUE"""),"Orizon GmbH")</f>
        <v>Orizon GmbH</v>
      </c>
      <c r="E119" s="7" t="str">
        <f>IFERROR(__xludf.DUMMYFUNCTION("""COMPUTED_VALUE"""),"NO SALARY DATA")</f>
        <v>NO SALARY DATA</v>
      </c>
      <c r="F119" s="7" t="str">
        <f>IFERROR(__xludf.DUMMYFUNCTION("""COMPUTED_VALUE"""),"No salary data")</f>
        <v>No salary data</v>
      </c>
      <c r="G119" s="7" t="str">
        <f>IFERROR(__xludf.DUMMYFUNCTION("""COMPUTED_VALUE"""),"Excel")</f>
        <v>Excel</v>
      </c>
      <c r="H119" s="7" t="str">
        <f>IFERROR(__xludf.DUMMYFUNCTION("""COMPUTED_VALUE"""),"Temporary")</f>
        <v>Temporary</v>
      </c>
      <c r="I119" s="7" t="str">
        <f>IFERROR(__xludf.DUMMYFUNCTION("""COMPUTED_VALUE"""),"3,3")</f>
        <v>3,3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 t="str">
        <f>IFERROR(__xludf.DUMMYFUNCTION("""COMPUTED_VALUE"""),"More than 30 days ago")</f>
        <v>More than 30 days ago</v>
      </c>
      <c r="B120" s="7" t="str">
        <f>IFERROR(__xludf.DUMMYFUNCTION("""COMPUTED_VALUE"""),"Senior Big Data Engineer (f/m/x)")</f>
        <v>Senior Big Data Engineer (f/m/x)</v>
      </c>
      <c r="C120" s="7" t="str">
        <f>IFERROR(__xludf.DUMMYFUNCTION("""COMPUTED_VALUE"""),"Deutschland")</f>
        <v>Deutschland</v>
      </c>
      <c r="D120" s="7" t="str">
        <f>IFERROR(__xludf.DUMMYFUNCTION("""COMPUTED_VALUE"""),"Avira Operations GmbH &amp; Co. KG")</f>
        <v>Avira Operations GmbH &amp; Co. KG</v>
      </c>
      <c r="E120" s="7" t="str">
        <f>IFERROR(__xludf.DUMMYFUNCTION("""COMPUTED_VALUE"""),"NO SALARY DATA")</f>
        <v>NO SALARY DATA</v>
      </c>
      <c r="F120" s="7" t="str">
        <f>IFERROR(__xludf.DUMMYFUNCTION("""COMPUTED_VALUE"""),"No salary data")</f>
        <v>No salary data</v>
      </c>
      <c r="G120" s="7" t="str">
        <f>IFERROR(__xludf.DUMMYFUNCTION("""COMPUTED_VALUE"""),"Python, SQL, Excel, Git")</f>
        <v>Python, SQL, Excel, Git</v>
      </c>
      <c r="H120" s="7" t="str">
        <f>IFERROR(__xludf.DUMMYFUNCTION("""COMPUTED_VALUE"""),"No job type data")</f>
        <v>No job type data</v>
      </c>
      <c r="I120" s="7" t="str">
        <f>IFERROR(__xludf.DUMMYFUNCTION("""COMPUTED_VALUE"""),"4,3")</f>
        <v>4,3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 t="str">
        <f>IFERROR(__xludf.DUMMYFUNCTION("""COMPUTED_VALUE"""),"Straight")</f>
        <v>Straight</v>
      </c>
      <c r="B121" s="7" t="str">
        <f>IFERROR(__xludf.DUMMYFUNCTION("""COMPUTED_VALUE"""),"(Senior) Data Analyst / Consultant - Data Science &amp; Consumer...")</f>
        <v>(Senior) Data Analyst / Consultant - Data Science &amp; Consumer...</v>
      </c>
      <c r="C121" s="7" t="str">
        <f>IFERROR(__xludf.DUMMYFUNCTION("""COMPUTED_VALUE"""),"Frankfurt am Main")</f>
        <v>Frankfurt am Main</v>
      </c>
      <c r="D121" s="7" t="str">
        <f>IFERROR(__xludf.DUMMYFUNCTION("""COMPUTED_VALUE"""),"IQVIA")</f>
        <v>IQVIA</v>
      </c>
      <c r="E121" s="7" t="str">
        <f>IFERROR(__xludf.DUMMYFUNCTION("""COMPUTED_VALUE"""),"NO SALARY DATA")</f>
        <v>NO SALARY DATA</v>
      </c>
      <c r="F121" s="7" t="str">
        <f>IFERROR(__xludf.DUMMYFUNCTION("""COMPUTED_VALUE"""),"No salary data")</f>
        <v>No salary data</v>
      </c>
      <c r="G121" s="7" t="str">
        <f>IFERROR(__xludf.DUMMYFUNCTION("""COMPUTED_VALUE"""),"Excel")</f>
        <v>Excel</v>
      </c>
      <c r="H121" s="7" t="str">
        <f>IFERROR(__xludf.DUMMYFUNCTION("""COMPUTED_VALUE"""),"No job type data")</f>
        <v>No job type data</v>
      </c>
      <c r="I121" s="7" t="str">
        <f>IFERROR(__xludf.DUMMYFUNCTION("""COMPUTED_VALUE"""),"3,8")</f>
        <v>3,8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 t="str">
        <f>IFERROR(__xludf.DUMMYFUNCTION("""COMPUTED_VALUE"""),"12 days ago")</f>
        <v>12 days ago</v>
      </c>
      <c r="B122" s="7" t="str">
        <f>IFERROR(__xludf.DUMMYFUNCTION("""COMPUTED_VALUE"""),"Financial Analyst (m/w/d)")</f>
        <v>Financial Analyst (m/w/d)</v>
      </c>
      <c r="C122" s="7" t="str">
        <f>IFERROR(__xludf.DUMMYFUNCTION("""COMPUTED_VALUE"""),"München")</f>
        <v>München</v>
      </c>
      <c r="D122" s="7" t="str">
        <f>IFERROR(__xludf.DUMMYFUNCTION("""COMPUTED_VALUE"""),"Michael Page")</f>
        <v>Michael Page</v>
      </c>
      <c r="E122" s="7" t="str">
        <f>IFERROR(__xludf.DUMMYFUNCTION("""COMPUTED_VALUE"""),"NO SALARY DATA")</f>
        <v>NO SALARY DATA</v>
      </c>
      <c r="F122" s="7" t="str">
        <f>IFERROR(__xludf.DUMMYFUNCTION("""COMPUTED_VALUE"""),"No salary data")</f>
        <v>No salary data</v>
      </c>
      <c r="G122" s="7" t="str">
        <f>IFERROR(__xludf.DUMMYFUNCTION("""COMPUTED_VALUE"""),"Excel")</f>
        <v>Excel</v>
      </c>
      <c r="H122" s="7" t="str">
        <f>IFERROR(__xludf.DUMMYFUNCTION("""COMPUTED_VALUE"""),"No job type data")</f>
        <v>No job type data</v>
      </c>
      <c r="I122" s="7" t="str">
        <f>IFERROR(__xludf.DUMMYFUNCTION("""COMPUTED_VALUE"""),"3,5")</f>
        <v>3,5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 t="str">
        <f>IFERROR(__xludf.DUMMYFUNCTION("""COMPUTED_VALUE"""),"More than 30 days ago")</f>
        <v>More than 30 days ago</v>
      </c>
      <c r="B123" s="7" t="str">
        <f>IFERROR(__xludf.DUMMYFUNCTION("""COMPUTED_VALUE"""),"(Senior) Marketing Analyst (m/f/d)")</f>
        <v>(Senior) Marketing Analyst (m/f/d)</v>
      </c>
      <c r="C123" s="7" t="str">
        <f>IFERROR(__xludf.DUMMYFUNCTION("""COMPUTED_VALUE"""),"Berlin")</f>
        <v>Berlin</v>
      </c>
      <c r="D123" s="7" t="str">
        <f>IFERROR(__xludf.DUMMYFUNCTION("""COMPUTED_VALUE"""),"Mister Spex GmbH")</f>
        <v>Mister Spex GmbH</v>
      </c>
      <c r="E123" s="7" t="str">
        <f>IFERROR(__xludf.DUMMYFUNCTION("""COMPUTED_VALUE"""),"NO SALARY DATA")</f>
        <v>NO SALARY DATA</v>
      </c>
      <c r="F123" s="7" t="str">
        <f>IFERROR(__xludf.DUMMYFUNCTION("""COMPUTED_VALUE"""),"No salary data")</f>
        <v>No salary data</v>
      </c>
      <c r="G123" s="7" t="str">
        <f>IFERROR(__xludf.DUMMYFUNCTION("""COMPUTED_VALUE"""),"Python, SQL, Tableau, Excel")</f>
        <v>Python, SQL, Tableau, Excel</v>
      </c>
      <c r="H123" s="7" t="str">
        <f>IFERROR(__xludf.DUMMYFUNCTION("""COMPUTED_VALUE"""),"Contract")</f>
        <v>Contract</v>
      </c>
      <c r="I123" s="7" t="str">
        <f>IFERROR(__xludf.DUMMYFUNCTION("""COMPUTED_VALUE"""),"3,8")</f>
        <v>3,8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 t="str">
        <f>IFERROR(__xludf.DUMMYFUNCTION("""COMPUTED_VALUE"""),"3 days ago")</f>
        <v>3 days ago</v>
      </c>
      <c r="B124" s="7" t="str">
        <f>IFERROR(__xludf.DUMMYFUNCTION("""COMPUTED_VALUE"""),"Sales Excellence Manager / Data Scientist (m/f/d)")</f>
        <v>Sales Excellence Manager / Data Scientist (m/f/d)</v>
      </c>
      <c r="C124" s="7" t="str">
        <f>IFERROR(__xludf.DUMMYFUNCTION("""COMPUTED_VALUE"""),"München")</f>
        <v>München</v>
      </c>
      <c r="D124" s="7" t="str">
        <f>IFERROR(__xludf.DUMMYFUNCTION("""COMPUTED_VALUE"""),"Orizon GmbH")</f>
        <v>Orizon GmbH</v>
      </c>
      <c r="E124" s="7" t="str">
        <f>IFERROR(__xludf.DUMMYFUNCTION("""COMPUTED_VALUE"""),"NO SALARY DATA")</f>
        <v>NO SALARY DATA</v>
      </c>
      <c r="F124" s="7" t="str">
        <f>IFERROR(__xludf.DUMMYFUNCTION("""COMPUTED_VALUE"""),"No salary data")</f>
        <v>No salary data</v>
      </c>
      <c r="G124" s="7" t="str">
        <f>IFERROR(__xludf.DUMMYFUNCTION("""COMPUTED_VALUE"""),"Excel")</f>
        <v>Excel</v>
      </c>
      <c r="H124" s="7" t="str">
        <f>IFERROR(__xludf.DUMMYFUNCTION("""COMPUTED_VALUE"""),"Contract")</f>
        <v>Contract</v>
      </c>
      <c r="I124" s="7" t="str">
        <f>IFERROR(__xludf.DUMMYFUNCTION("""COMPUTED_VALUE"""),"3,3")</f>
        <v>3,3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 t="str">
        <f>IFERROR(__xludf.DUMMYFUNCTION("""COMPUTED_VALUE"""),"More than 30 days ago")</f>
        <v>More than 30 days ago</v>
      </c>
      <c r="B125" s="7" t="str">
        <f>IFERROR(__xludf.DUMMYFUNCTION("""COMPUTED_VALUE"""),"Werkstudent (m/w/d) Data Science / IT / Python / Karlsruhe")</f>
        <v>Werkstudent (m/w/d) Data Science / IT / Python / Karlsruhe</v>
      </c>
      <c r="C125" s="7" t="str">
        <f>IFERROR(__xludf.DUMMYFUNCTION("""COMPUTED_VALUE"""),"Karlsruhe")</f>
        <v>Karlsruhe</v>
      </c>
      <c r="D125" s="7" t="str">
        <f>IFERROR(__xludf.DUMMYFUNCTION("""COMPUTED_VALUE"""),"Campusjäger GmbH")</f>
        <v>Campusjäger GmbH</v>
      </c>
      <c r="E125" s="7" t="str">
        <f>IFERROR(__xludf.DUMMYFUNCTION("""COMPUTED_VALUE"""),"NO SALARY DATA")</f>
        <v>NO SALARY DATA</v>
      </c>
      <c r="F125" s="7" t="str">
        <f>IFERROR(__xludf.DUMMYFUNCTION("""COMPUTED_VALUE"""),"No salary data")</f>
        <v>No salary data</v>
      </c>
      <c r="G125" s="7" t="str">
        <f>IFERROR(__xludf.DUMMYFUNCTION("""COMPUTED_VALUE"""),"Python, SQL, Excel")</f>
        <v>Python, SQL, Excel</v>
      </c>
      <c r="H125" s="7" t="str">
        <f>IFERROR(__xludf.DUMMYFUNCTION("""COMPUTED_VALUE"""),"No job type data")</f>
        <v>No job type data</v>
      </c>
      <c r="I125" s="7" t="str">
        <f>IFERROR(__xludf.DUMMYFUNCTION("""COMPUTED_VALUE"""),"4,8")</f>
        <v>4,8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 t="str">
        <f>IFERROR(__xludf.DUMMYFUNCTION("""COMPUTED_VALUE"""),"today")</f>
        <v>today</v>
      </c>
      <c r="B126" s="7" t="str">
        <f>IFERROR(__xludf.DUMMYFUNCTION("""COMPUTED_VALUE"""),"Stress Engineer – Structure (m/f/d)")</f>
        <v>Stress Engineer – Structure (m/f/d)</v>
      </c>
      <c r="C126" s="7" t="str">
        <f>IFERROR(__xludf.DUMMYFUNCTION("""COMPUTED_VALUE"""),"München")</f>
        <v>München</v>
      </c>
      <c r="D126" s="7" t="str">
        <f>IFERROR(__xludf.DUMMYFUNCTION("""COMPUTED_VALUE"""),"Orizon GmbH")</f>
        <v>Orizon GmbH</v>
      </c>
      <c r="E126" s="7" t="str">
        <f>IFERROR(__xludf.DUMMYFUNCTION("""COMPUTED_VALUE"""),"NO SALARY DATA")</f>
        <v>NO SALARY DATA</v>
      </c>
      <c r="F126" s="7" t="str">
        <f>IFERROR(__xludf.DUMMYFUNCTION("""COMPUTED_VALUE"""),"No salary data")</f>
        <v>No salary data</v>
      </c>
      <c r="G126" s="7" t="str">
        <f>IFERROR(__xludf.DUMMYFUNCTION("""COMPUTED_VALUE"""),"Excel")</f>
        <v>Excel</v>
      </c>
      <c r="H126" s="7" t="str">
        <f>IFERROR(__xludf.DUMMYFUNCTION("""COMPUTED_VALUE"""),"No job type data")</f>
        <v>No job type data</v>
      </c>
      <c r="I126" s="7" t="str">
        <f>IFERROR(__xludf.DUMMYFUNCTION("""COMPUTED_VALUE"""),"3,3")</f>
        <v>3,3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 t="str">
        <f>IFERROR(__xludf.DUMMYFUNCTION("""COMPUTED_VALUE"""),"10 days ago")</f>
        <v>10 days ago</v>
      </c>
      <c r="B127" s="7" t="str">
        <f>IFERROR(__xludf.DUMMYFUNCTION("""COMPUTED_VALUE"""),"Global Support Engineer (m/w/d)")</f>
        <v>Global Support Engineer (m/w/d)</v>
      </c>
      <c r="C127" s="7" t="str">
        <f>IFERROR(__xludf.DUMMYFUNCTION("""COMPUTED_VALUE"""),"München")</f>
        <v>München</v>
      </c>
      <c r="D127" s="7" t="str">
        <f>IFERROR(__xludf.DUMMYFUNCTION("""COMPUTED_VALUE"""),"Academic Work GmbH")</f>
        <v>Academic Work GmbH</v>
      </c>
      <c r="E127" s="7" t="str">
        <f>IFERROR(__xludf.DUMMYFUNCTION("""COMPUTED_VALUE"""),"NO SALARY DATA")</f>
        <v>NO SALARY DATA</v>
      </c>
      <c r="F127" s="7" t="str">
        <f>IFERROR(__xludf.DUMMYFUNCTION("""COMPUTED_VALUE"""),"No salary data")</f>
        <v>No salary data</v>
      </c>
      <c r="G127" s="7" t="str">
        <f>IFERROR(__xludf.DUMMYFUNCTION("""COMPUTED_VALUE"""),"SQL, Excel, Agile")</f>
        <v>SQL, Excel, Agile</v>
      </c>
      <c r="H127" s="7" t="str">
        <f>IFERROR(__xludf.DUMMYFUNCTION("""COMPUTED_VALUE"""),"No job type data")</f>
        <v>No job type data</v>
      </c>
      <c r="I127" s="7" t="str">
        <f>IFERROR(__xludf.DUMMYFUNCTION("""COMPUTED_VALUE"""),"3,3")</f>
        <v>3,3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 t="str">
        <f>IFERROR(__xludf.DUMMYFUNCTION("""COMPUTED_VALUE"""),"3 days ago")</f>
        <v>3 days ago</v>
      </c>
      <c r="B128" s="7" t="str">
        <f>IFERROR(__xludf.DUMMYFUNCTION("""COMPUTED_VALUE"""),"Junior Marketing Consultant (m/w/d) Brand Manager FMCG in Di...")</f>
        <v>Junior Marketing Consultant (m/w/d) Brand Manager FMCG in Di...</v>
      </c>
      <c r="C128" s="7" t="str">
        <f>IFERROR(__xludf.DUMMYFUNCTION("""COMPUTED_VALUE"""),"Bad Homburg vor der Höhe")</f>
        <v>Bad Homburg vor der Höhe</v>
      </c>
      <c r="D128" s="7" t="str">
        <f>IFERROR(__xludf.DUMMYFUNCTION("""COMPUTED_VALUE"""),"a-team Personalmanagement")</f>
        <v>a-team Personalmanagement</v>
      </c>
      <c r="E128" s="7" t="str">
        <f>IFERROR(__xludf.DUMMYFUNCTION("""COMPUTED_VALUE"""),"NO SALARY DATA")</f>
        <v>NO SALARY DATA</v>
      </c>
      <c r="F128" s="7" t="str">
        <f>IFERROR(__xludf.DUMMYFUNCTION("""COMPUTED_VALUE"""),"No salary data")</f>
        <v>No salary data</v>
      </c>
      <c r="G128" s="7" t="str">
        <f>IFERROR(__xludf.DUMMYFUNCTION("""COMPUTED_VALUE"""),"Excel")</f>
        <v>Excel</v>
      </c>
      <c r="H128" s="7" t="str">
        <f>IFERROR(__xludf.DUMMYFUNCTION("""COMPUTED_VALUE"""),"No job type data")</f>
        <v>No job type data</v>
      </c>
      <c r="I128" s="7" t="str">
        <f>IFERROR(__xludf.DUMMYFUNCTION("""COMPUTED_VALUE"""),"5,0")</f>
        <v>5,0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 t="str">
        <f>IFERROR(__xludf.DUMMYFUNCTION("""COMPUTED_VALUE"""),"3 days ago")</f>
        <v>3 days ago</v>
      </c>
      <c r="B129" s="7" t="str">
        <f>IFERROR(__xludf.DUMMYFUNCTION("""COMPUTED_VALUE"""),"Junior Marketing Consultant (m/w/d) Brand Manager FMCG in Di...")</f>
        <v>Junior Marketing Consultant (m/w/d) Brand Manager FMCG in Di...</v>
      </c>
      <c r="C129" s="7" t="str">
        <f>IFERROR(__xludf.DUMMYFUNCTION("""COMPUTED_VALUE"""),"Bad Homburg vor der Höhe")</f>
        <v>Bad Homburg vor der Höhe</v>
      </c>
      <c r="D129" s="7" t="str">
        <f>IFERROR(__xludf.DUMMYFUNCTION("""COMPUTED_VALUE"""),"a-team Personalmanagement")</f>
        <v>a-team Personalmanagement</v>
      </c>
      <c r="E129" s="7" t="str">
        <f>IFERROR(__xludf.DUMMYFUNCTION("""COMPUTED_VALUE"""),"NO SALARY DATA")</f>
        <v>NO SALARY DATA</v>
      </c>
      <c r="F129" s="7" t="str">
        <f>IFERROR(__xludf.DUMMYFUNCTION("""COMPUTED_VALUE"""),"No salary data")</f>
        <v>No salary data</v>
      </c>
      <c r="G129" s="7" t="str">
        <f>IFERROR(__xludf.DUMMYFUNCTION("""COMPUTED_VALUE"""),"Excel")</f>
        <v>Excel</v>
      </c>
      <c r="H129" s="7" t="str">
        <f>IFERROR(__xludf.DUMMYFUNCTION("""COMPUTED_VALUE"""),"No job type data")</f>
        <v>No job type data</v>
      </c>
      <c r="I129" s="7" t="str">
        <f>IFERROR(__xludf.DUMMYFUNCTION("""COMPUTED_VALUE"""),"5,0")</f>
        <v>5,0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 t="str">
        <f>IFERROR(__xludf.DUMMYFUNCTION("""COMPUTED_VALUE"""),"10 days ago")</f>
        <v>10 days ago</v>
      </c>
      <c r="B130" s="7" t="str">
        <f>IFERROR(__xludf.DUMMYFUNCTION("""COMPUTED_VALUE"""),"Vertriebscontroller (m/w/d)")</f>
        <v>Vertriebscontroller (m/w/d)</v>
      </c>
      <c r="C130" s="7" t="str">
        <f>IFERROR(__xludf.DUMMYFUNCTION("""COMPUTED_VALUE"""),"Frankfurt am Main")</f>
        <v>Frankfurt am Main</v>
      </c>
      <c r="D130" s="7" t="str">
        <f>IFERROR(__xludf.DUMMYFUNCTION("""COMPUTED_VALUE"""),"James Woodman")</f>
        <v>James Woodman</v>
      </c>
      <c r="E130" s="7" t="str">
        <f>IFERROR(__xludf.DUMMYFUNCTION("""COMPUTED_VALUE"""),"year")</f>
        <v>year</v>
      </c>
      <c r="F130" s="7" t="str">
        <f>IFERROR(__xludf.DUMMYFUNCTION("""COMPUTED_VALUE"""),"65000")</f>
        <v>65000</v>
      </c>
      <c r="G130" s="7" t="str">
        <f>IFERROR(__xludf.DUMMYFUNCTION("""COMPUTED_VALUE"""),"Excel")</f>
        <v>Excel</v>
      </c>
      <c r="H130" s="7" t="str">
        <f>IFERROR(__xludf.DUMMYFUNCTION("""COMPUTED_VALUE"""),"No job type data")</f>
        <v>No job type data</v>
      </c>
      <c r="I130" s="7" t="str">
        <f>IFERROR(__xludf.DUMMYFUNCTION("""COMPUTED_VALUE"""),"4,8")</f>
        <v>4,8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 t="str">
        <f>IFERROR(__xludf.DUMMYFUNCTION("""COMPUTED_VALUE"""),"More than 30 days ago")</f>
        <v>More than 30 days ago</v>
      </c>
      <c r="B131" s="7" t="str">
        <f>IFERROR(__xludf.DUMMYFUNCTION("""COMPUTED_VALUE"""),"Werkstudent (m/w/d) Data Science / IT / Python / Karlsruhe")</f>
        <v>Werkstudent (m/w/d) Data Science / IT / Python / Karlsruhe</v>
      </c>
      <c r="C131" s="7" t="str">
        <f>IFERROR(__xludf.DUMMYFUNCTION("""COMPUTED_VALUE"""),"Karlsruhe")</f>
        <v>Karlsruhe</v>
      </c>
      <c r="D131" s="7" t="str">
        <f>IFERROR(__xludf.DUMMYFUNCTION("""COMPUTED_VALUE"""),"Campusjäger GmbH")</f>
        <v>Campusjäger GmbH</v>
      </c>
      <c r="E131" s="7" t="str">
        <f>IFERROR(__xludf.DUMMYFUNCTION("""COMPUTED_VALUE"""),"NO SALARY DATA")</f>
        <v>NO SALARY DATA</v>
      </c>
      <c r="F131" s="7" t="str">
        <f>IFERROR(__xludf.DUMMYFUNCTION("""COMPUTED_VALUE"""),"No salary data")</f>
        <v>No salary data</v>
      </c>
      <c r="G131" s="7" t="str">
        <f>IFERROR(__xludf.DUMMYFUNCTION("""COMPUTED_VALUE"""),"Python, SQL, Excel")</f>
        <v>Python, SQL, Excel</v>
      </c>
      <c r="H131" s="7" t="str">
        <f>IFERROR(__xludf.DUMMYFUNCTION("""COMPUTED_VALUE"""),"No job type data")</f>
        <v>No job type data</v>
      </c>
      <c r="I131" s="7" t="str">
        <f>IFERROR(__xludf.DUMMYFUNCTION("""COMPUTED_VALUE"""),"4,8")</f>
        <v>4,8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 t="str">
        <f>IFERROR(__xludf.DUMMYFUNCTION("""COMPUTED_VALUE"""),"10 days ago")</f>
        <v>10 days ago</v>
      </c>
      <c r="B132" s="7" t="str">
        <f>IFERROR(__xludf.DUMMYFUNCTION("""COMPUTED_VALUE"""),"Global Support Engineer (m/w/d)")</f>
        <v>Global Support Engineer (m/w/d)</v>
      </c>
      <c r="C132" s="7" t="str">
        <f>IFERROR(__xludf.DUMMYFUNCTION("""COMPUTED_VALUE"""),"München")</f>
        <v>München</v>
      </c>
      <c r="D132" s="7" t="str">
        <f>IFERROR(__xludf.DUMMYFUNCTION("""COMPUTED_VALUE"""),"Academic Work GmbH")</f>
        <v>Academic Work GmbH</v>
      </c>
      <c r="E132" s="7" t="str">
        <f>IFERROR(__xludf.DUMMYFUNCTION("""COMPUTED_VALUE"""),"NO SALARY DATA")</f>
        <v>NO SALARY DATA</v>
      </c>
      <c r="F132" s="7" t="str">
        <f>IFERROR(__xludf.DUMMYFUNCTION("""COMPUTED_VALUE"""),"No salary data")</f>
        <v>No salary data</v>
      </c>
      <c r="G132" s="7" t="str">
        <f>IFERROR(__xludf.DUMMYFUNCTION("""COMPUTED_VALUE"""),"SQL, Excel, Agile")</f>
        <v>SQL, Excel, Agile</v>
      </c>
      <c r="H132" s="7" t="str">
        <f>IFERROR(__xludf.DUMMYFUNCTION("""COMPUTED_VALUE"""),"No job type data")</f>
        <v>No job type data</v>
      </c>
      <c r="I132" s="7" t="str">
        <f>IFERROR(__xludf.DUMMYFUNCTION("""COMPUTED_VALUE"""),"3,3")</f>
        <v>3,3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 t="str">
        <f>IFERROR(__xludf.DUMMYFUNCTION("""COMPUTED_VALUE"""),"6 days ago")</f>
        <v>6 days ago</v>
      </c>
      <c r="B133" s="7" t="str">
        <f>IFERROR(__xludf.DUMMYFUNCTION("""COMPUTED_VALUE"""),"Process Technician (m/f/d)")</f>
        <v>Process Technician (m/f/d)</v>
      </c>
      <c r="C133" s="7" t="str">
        <f>IFERROR(__xludf.DUMMYFUNCTION("""COMPUTED_VALUE"""),"Weßling")</f>
        <v>Weßling</v>
      </c>
      <c r="D133" s="7" t="str">
        <f>IFERROR(__xludf.DUMMYFUNCTION("""COMPUTED_VALUE"""),"Orizon GmbH")</f>
        <v>Orizon GmbH</v>
      </c>
      <c r="E133" s="7" t="str">
        <f>IFERROR(__xludf.DUMMYFUNCTION("""COMPUTED_VALUE"""),"NO SALARY DATA")</f>
        <v>NO SALARY DATA</v>
      </c>
      <c r="F133" s="7" t="str">
        <f>IFERROR(__xludf.DUMMYFUNCTION("""COMPUTED_VALUE"""),"No salary data")</f>
        <v>No salary data</v>
      </c>
      <c r="G133" s="7" t="str">
        <f>IFERROR(__xludf.DUMMYFUNCTION("""COMPUTED_VALUE"""),"Excel, Git")</f>
        <v>Excel, Git</v>
      </c>
      <c r="H133" s="7" t="str">
        <f>IFERROR(__xludf.DUMMYFUNCTION("""COMPUTED_VALUE"""),"Apprenticeship")</f>
        <v>Apprenticeship</v>
      </c>
      <c r="I133" s="7" t="str">
        <f>IFERROR(__xludf.DUMMYFUNCTION("""COMPUTED_VALUE"""),"3,3")</f>
        <v>3,3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 t="str">
        <f>IFERROR(__xludf.DUMMYFUNCTION("""COMPUTED_VALUE"""),"25 days ago")</f>
        <v>25 days ago</v>
      </c>
      <c r="B134" s="7" t="str">
        <f>IFERROR(__xludf.DUMMYFUNCTION("""COMPUTED_VALUE"""),"Applied Science Manager - Retail Data Products (w/m/d)")</f>
        <v>Applied Science Manager - Retail Data Products (w/m/d)</v>
      </c>
      <c r="C134" s="7" t="str">
        <f>IFERROR(__xludf.DUMMYFUNCTION("""COMPUTED_VALUE"""),"Berlin")</f>
        <v>Berlin</v>
      </c>
      <c r="D134" s="7" t="str">
        <f>IFERROR(__xludf.DUMMYFUNCTION("""COMPUTED_VALUE"""),"Zalando")</f>
        <v>Zalando</v>
      </c>
      <c r="E134" s="7" t="str">
        <f>IFERROR(__xludf.DUMMYFUNCTION("""COMPUTED_VALUE"""),"NO SALARY DATA")</f>
        <v>NO SALARY DATA</v>
      </c>
      <c r="F134" s="7" t="str">
        <f>IFERROR(__xludf.DUMMYFUNCTION("""COMPUTED_VALUE"""),"No salary data")</f>
        <v>No salary data</v>
      </c>
      <c r="G134" s="7" t="str">
        <f>IFERROR(__xludf.DUMMYFUNCTION("""COMPUTED_VALUE"""),"Python, SQL, Excel, Machine Learning, Statistic, Git, Agile")</f>
        <v>Python, SQL, Excel, Machine Learning, Statistic, Git, Agile</v>
      </c>
      <c r="H134" s="7" t="str">
        <f>IFERROR(__xludf.DUMMYFUNCTION("""COMPUTED_VALUE"""),"Volunteer")</f>
        <v>Volunteer</v>
      </c>
      <c r="I134" s="7" t="str">
        <f>IFERROR(__xludf.DUMMYFUNCTION("""COMPUTED_VALUE"""),"3,1")</f>
        <v>3,1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 t="str">
        <f>IFERROR(__xludf.DUMMYFUNCTION("""COMPUTED_VALUE"""),"4 days ago")</f>
        <v>4 days ago</v>
      </c>
      <c r="B135" s="7" t="str">
        <f>IFERROR(__xludf.DUMMYFUNCTION("""COMPUTED_VALUE"""),"Systems Engineer - Baden-Württemberg - Stuttgart/Leonberg/Ka...")</f>
        <v>Systems Engineer - Baden-Württemberg - Stuttgart/Leonberg/Ka...</v>
      </c>
      <c r="C135" s="7" t="str">
        <f>IFERROR(__xludf.DUMMYFUNCTION("""COMPUTED_VALUE"""),"München")</f>
        <v>München</v>
      </c>
      <c r="D135" s="7" t="str">
        <f>IFERROR(__xludf.DUMMYFUNCTION("""COMPUTED_VALUE"""),"Veeam")</f>
        <v>Veeam</v>
      </c>
      <c r="E135" s="7" t="str">
        <f>IFERROR(__xludf.DUMMYFUNCTION("""COMPUTED_VALUE"""),"NO SALARY DATA")</f>
        <v>NO SALARY DATA</v>
      </c>
      <c r="F135" s="7" t="str">
        <f>IFERROR(__xludf.DUMMYFUNCTION("""COMPUTED_VALUE"""),"No salary data")</f>
        <v>No salary data</v>
      </c>
      <c r="G135" s="7" t="str">
        <f>IFERROR(__xludf.DUMMYFUNCTION("""COMPUTED_VALUE"""),"Excel")</f>
        <v>Excel</v>
      </c>
      <c r="H135" s="7" t="str">
        <f>IFERROR(__xludf.DUMMYFUNCTION("""COMPUTED_VALUE"""),"No job type data")</f>
        <v>No job type data</v>
      </c>
      <c r="I135" s="7" t="str">
        <f>IFERROR(__xludf.DUMMYFUNCTION("""COMPUTED_VALUE"""),"3,5")</f>
        <v>3,5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 t="str">
        <f>IFERROR(__xludf.DUMMYFUNCTION("""COMPUTED_VALUE"""),"20 days ago")</f>
        <v>20 days ago</v>
      </c>
      <c r="B136" s="7" t="str">
        <f>IFERROR(__xludf.DUMMYFUNCTION("""COMPUTED_VALUE"""),"Marketing Science Partner DACH")</f>
        <v>Marketing Science Partner DACH</v>
      </c>
      <c r="C136" s="7" t="str">
        <f>IFERROR(__xludf.DUMMYFUNCTION("""COMPUTED_VALUE"""),"Hamburg, Freie und Hansestadt")</f>
        <v>Hamburg, Freie und Hansestadt</v>
      </c>
      <c r="D136" s="7" t="str">
        <f>IFERROR(__xludf.DUMMYFUNCTION("""COMPUTED_VALUE"""),"Facebook")</f>
        <v>Facebook</v>
      </c>
      <c r="E136" s="7" t="str">
        <f>IFERROR(__xludf.DUMMYFUNCTION("""COMPUTED_VALUE"""),"NO SALARY DATA")</f>
        <v>NO SALARY DATA</v>
      </c>
      <c r="F136" s="7" t="str">
        <f>IFERROR(__xludf.DUMMYFUNCTION("""COMPUTED_VALUE"""),"No salary data")</f>
        <v>No salary data</v>
      </c>
      <c r="G136" s="7" t="str">
        <f>IFERROR(__xludf.DUMMYFUNCTION("""COMPUTED_VALUE"""),"SQL, Excel, Statistic, Git")</f>
        <v>SQL, Excel, Statistic, Git</v>
      </c>
      <c r="H136" s="7" t="str">
        <f>IFERROR(__xludf.DUMMYFUNCTION("""COMPUTED_VALUE"""),"Full Time")</f>
        <v>Full Time</v>
      </c>
      <c r="I136" s="7" t="str">
        <f>IFERROR(__xludf.DUMMYFUNCTION("""COMPUTED_VALUE"""),"4,2")</f>
        <v>4,2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 t="str">
        <f>IFERROR(__xludf.DUMMYFUNCTION("""COMPUTED_VALUE"""),"20 days ago")</f>
        <v>20 days ago</v>
      </c>
      <c r="B137" s="7" t="str">
        <f>IFERROR(__xludf.DUMMYFUNCTION("""COMPUTED_VALUE"""),"Marketing Science Partner DACH")</f>
        <v>Marketing Science Partner DACH</v>
      </c>
      <c r="C137" s="7" t="str">
        <f>IFERROR(__xludf.DUMMYFUNCTION("""COMPUTED_VALUE"""),"Hamburg, Freie und Hansestadt")</f>
        <v>Hamburg, Freie und Hansestadt</v>
      </c>
      <c r="D137" s="7" t="str">
        <f>IFERROR(__xludf.DUMMYFUNCTION("""COMPUTED_VALUE"""),"Facebook")</f>
        <v>Facebook</v>
      </c>
      <c r="E137" s="7" t="str">
        <f>IFERROR(__xludf.DUMMYFUNCTION("""COMPUTED_VALUE"""),"NO SALARY DATA")</f>
        <v>NO SALARY DATA</v>
      </c>
      <c r="F137" s="7" t="str">
        <f>IFERROR(__xludf.DUMMYFUNCTION("""COMPUTED_VALUE"""),"No salary data")</f>
        <v>No salary data</v>
      </c>
      <c r="G137" s="7" t="str">
        <f>IFERROR(__xludf.DUMMYFUNCTION("""COMPUTED_VALUE"""),"SQL, Excel, Statistic, Git")</f>
        <v>SQL, Excel, Statistic, Git</v>
      </c>
      <c r="H137" s="7" t="str">
        <f>IFERROR(__xludf.DUMMYFUNCTION("""COMPUTED_VALUE"""),"Full Time")</f>
        <v>Full Time</v>
      </c>
      <c r="I137" s="7" t="str">
        <f>IFERROR(__xludf.DUMMYFUNCTION("""COMPUTED_VALUE"""),"4,2")</f>
        <v>4,2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 t="str">
        <f>IFERROR(__xludf.DUMMYFUNCTION("""COMPUTED_VALUE"""),"More than 30 days ago")</f>
        <v>More than 30 days ago</v>
      </c>
      <c r="B138" s="7" t="str">
        <f>IFERROR(__xludf.DUMMYFUNCTION("""COMPUTED_VALUE"""),"Manager, Business Analytics")</f>
        <v>Manager, Business Analytics</v>
      </c>
      <c r="C138" s="7" t="str">
        <f>IFERROR(__xludf.DUMMYFUNCTION("""COMPUTED_VALUE"""),"Dreilinden")</f>
        <v>Dreilinden</v>
      </c>
      <c r="D138" s="7" t="str">
        <f>IFERROR(__xludf.DUMMYFUNCTION("""COMPUTED_VALUE"""),"PayPal")</f>
        <v>PayPal</v>
      </c>
      <c r="E138" s="7" t="str">
        <f>IFERROR(__xludf.DUMMYFUNCTION("""COMPUTED_VALUE"""),"NO SALARY DATA")</f>
        <v>NO SALARY DATA</v>
      </c>
      <c r="F138" s="7" t="str">
        <f>IFERROR(__xludf.DUMMYFUNCTION("""COMPUTED_VALUE"""),"No salary data")</f>
        <v>No salary data</v>
      </c>
      <c r="G138" s="7" t="str">
        <f>IFERROR(__xludf.DUMMYFUNCTION("""COMPUTED_VALUE"""),"Python, SQL, Excel, Git")</f>
        <v>Python, SQL, Excel, Git</v>
      </c>
      <c r="H138" s="7" t="str">
        <f>IFERROR(__xludf.DUMMYFUNCTION("""COMPUTED_VALUE"""),"No job type data")</f>
        <v>No job type data</v>
      </c>
      <c r="I138" s="7" t="str">
        <f>IFERROR(__xludf.DUMMYFUNCTION("""COMPUTED_VALUE"""),"3,9")</f>
        <v>3,9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 t="str">
        <f>IFERROR(__xludf.DUMMYFUNCTION("""COMPUTED_VALUE"""),"1 day ago")</f>
        <v>1 day ago</v>
      </c>
      <c r="B139" s="7" t="str">
        <f>IFERROR(__xludf.DUMMYFUNCTION("""COMPUTED_VALUE"""),"Strategic Partner Consultant - ZMS")</f>
        <v>Strategic Partner Consultant - ZMS</v>
      </c>
      <c r="C139" s="7" t="str">
        <f>IFERROR(__xludf.DUMMYFUNCTION("""COMPUTED_VALUE"""),"Berlin")</f>
        <v>Berlin</v>
      </c>
      <c r="D139" s="7" t="str">
        <f>IFERROR(__xludf.DUMMYFUNCTION("""COMPUTED_VALUE"""),"Zalando")</f>
        <v>Zalando</v>
      </c>
      <c r="E139" s="7" t="str">
        <f>IFERROR(__xludf.DUMMYFUNCTION("""COMPUTED_VALUE"""),"NO SALARY DATA")</f>
        <v>NO SALARY DATA</v>
      </c>
      <c r="F139" s="7" t="str">
        <f>IFERROR(__xludf.DUMMYFUNCTION("""COMPUTED_VALUE"""),"No salary data")</f>
        <v>No salary data</v>
      </c>
      <c r="G139" s="7" t="str">
        <f>IFERROR(__xludf.DUMMYFUNCTION("""COMPUTED_VALUE"""),"Excel, Git")</f>
        <v>Excel, Git</v>
      </c>
      <c r="H139" s="7" t="str">
        <f>IFERROR(__xludf.DUMMYFUNCTION("""COMPUTED_VALUE"""),"Volunteer")</f>
        <v>Volunteer</v>
      </c>
      <c r="I139" s="7" t="str">
        <f>IFERROR(__xludf.DUMMYFUNCTION("""COMPUTED_VALUE"""),"3,1")</f>
        <v>3,1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 t="str">
        <f>IFERROR(__xludf.DUMMYFUNCTION("""COMPUTED_VALUE"""),"More than 30 days ago")</f>
        <v>More than 30 days ago</v>
      </c>
      <c r="B140" s="7" t="str">
        <f>IFERROR(__xludf.DUMMYFUNCTION("""COMPUTED_VALUE"""),"Kaufmännischer Spezialist (m/w/d) mit Fokus Stammdatenpflege")</f>
        <v>Kaufmännischer Spezialist (m/w/d) mit Fokus Stammdatenpflege</v>
      </c>
      <c r="C140" s="7" t="str">
        <f>IFERROR(__xludf.DUMMYFUNCTION("""COMPUTED_VALUE"""),"Fürstenwalde/Spree")</f>
        <v>Fürstenwalde/Spree</v>
      </c>
      <c r="D140" s="7" t="str">
        <f>IFERROR(__xludf.DUMMYFUNCTION("""COMPUTED_VALUE"""),"Bonava Deutschland GmbH")</f>
        <v>Bonava Deutschland GmbH</v>
      </c>
      <c r="E140" s="7" t="str">
        <f>IFERROR(__xludf.DUMMYFUNCTION("""COMPUTED_VALUE"""),"NO SALARY DATA")</f>
        <v>NO SALARY DATA</v>
      </c>
      <c r="F140" s="7" t="str">
        <f>IFERROR(__xludf.DUMMYFUNCTION("""COMPUTED_VALUE"""),"No salary data")</f>
        <v>No salary data</v>
      </c>
      <c r="G140" s="7" t="str">
        <f>IFERROR(__xludf.DUMMYFUNCTION("""COMPUTED_VALUE"""),"Excel")</f>
        <v>Excel</v>
      </c>
      <c r="H140" s="7" t="str">
        <f>IFERROR(__xludf.DUMMYFUNCTION("""COMPUTED_VALUE"""),"No job type data")</f>
        <v>No job type data</v>
      </c>
      <c r="I140" s="7" t="str">
        <f>IFERROR(__xludf.DUMMYFUNCTION("""COMPUTED_VALUE"""),"4,7")</f>
        <v>4,7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 t="str">
        <f>IFERROR(__xludf.DUMMYFUNCTION("""COMPUTED_VALUE"""),"More than 30 days ago")</f>
        <v>More than 30 days ago</v>
      </c>
      <c r="B141" s="7" t="str">
        <f>IFERROR(__xludf.DUMMYFUNCTION("""COMPUTED_VALUE"""),"Kaufmännischer Spezialist (m/w/d) mit Fokus Stammdatenpflege")</f>
        <v>Kaufmännischer Spezialist (m/w/d) mit Fokus Stammdatenpflege</v>
      </c>
      <c r="C141" s="7" t="str">
        <f>IFERROR(__xludf.DUMMYFUNCTION("""COMPUTED_VALUE"""),"Fürstenwalde/Spree")</f>
        <v>Fürstenwalde/Spree</v>
      </c>
      <c r="D141" s="7" t="str">
        <f>IFERROR(__xludf.DUMMYFUNCTION("""COMPUTED_VALUE"""),"Bonava Deutschland GmbH")</f>
        <v>Bonava Deutschland GmbH</v>
      </c>
      <c r="E141" s="7" t="str">
        <f>IFERROR(__xludf.DUMMYFUNCTION("""COMPUTED_VALUE"""),"NO SALARY DATA")</f>
        <v>NO SALARY DATA</v>
      </c>
      <c r="F141" s="7" t="str">
        <f>IFERROR(__xludf.DUMMYFUNCTION("""COMPUTED_VALUE"""),"No salary data")</f>
        <v>No salary data</v>
      </c>
      <c r="G141" s="7" t="str">
        <f>IFERROR(__xludf.DUMMYFUNCTION("""COMPUTED_VALUE"""),"Excel")</f>
        <v>Excel</v>
      </c>
      <c r="H141" s="7" t="str">
        <f>IFERROR(__xludf.DUMMYFUNCTION("""COMPUTED_VALUE"""),"No job type data")</f>
        <v>No job type data</v>
      </c>
      <c r="I141" s="7" t="str">
        <f>IFERROR(__xludf.DUMMYFUNCTION("""COMPUTED_VALUE"""),"4,7")</f>
        <v>4,7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 t="str">
        <f>IFERROR(__xludf.DUMMYFUNCTION("""COMPUTED_VALUE"""),"25 days ago")</f>
        <v>25 days ago</v>
      </c>
      <c r="B142" s="7" t="str">
        <f>IFERROR(__xludf.DUMMYFUNCTION("""COMPUTED_VALUE"""),"Applied Science Manager - Retail Data Products (w/m/d)")</f>
        <v>Applied Science Manager - Retail Data Products (w/m/d)</v>
      </c>
      <c r="C142" s="7" t="str">
        <f>IFERROR(__xludf.DUMMYFUNCTION("""COMPUTED_VALUE"""),"Berlin")</f>
        <v>Berlin</v>
      </c>
      <c r="D142" s="7" t="str">
        <f>IFERROR(__xludf.DUMMYFUNCTION("""COMPUTED_VALUE"""),"Zalando")</f>
        <v>Zalando</v>
      </c>
      <c r="E142" s="7" t="str">
        <f>IFERROR(__xludf.DUMMYFUNCTION("""COMPUTED_VALUE"""),"NO SALARY DATA")</f>
        <v>NO SALARY DATA</v>
      </c>
      <c r="F142" s="7" t="str">
        <f>IFERROR(__xludf.DUMMYFUNCTION("""COMPUTED_VALUE"""),"No salary data")</f>
        <v>No salary data</v>
      </c>
      <c r="G142" s="7" t="str">
        <f>IFERROR(__xludf.DUMMYFUNCTION("""COMPUTED_VALUE"""),"Python, SQL, Excel, Machine Learning, Statistic, Git, Agile")</f>
        <v>Python, SQL, Excel, Machine Learning, Statistic, Git, Agile</v>
      </c>
      <c r="H142" s="7" t="str">
        <f>IFERROR(__xludf.DUMMYFUNCTION("""COMPUTED_VALUE"""),"Volunteer")</f>
        <v>Volunteer</v>
      </c>
      <c r="I142" s="7" t="str">
        <f>IFERROR(__xludf.DUMMYFUNCTION("""COMPUTED_VALUE"""),"3,1")</f>
        <v>3,1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 t="str">
        <f>IFERROR(__xludf.DUMMYFUNCTION("""COMPUTED_VALUE"""),"4 days ago")</f>
        <v>4 days ago</v>
      </c>
      <c r="B143" s="7" t="str">
        <f>IFERROR(__xludf.DUMMYFUNCTION("""COMPUTED_VALUE"""),"Director Enterprise")</f>
        <v>Director Enterprise</v>
      </c>
      <c r="C143" s="7" t="str">
        <f>IFERROR(__xludf.DUMMYFUNCTION("""COMPUTED_VALUE"""),"München")</f>
        <v>München</v>
      </c>
      <c r="D143" s="7" t="str">
        <f>IFERROR(__xludf.DUMMYFUNCTION("""COMPUTED_VALUE"""),"Veeam")</f>
        <v>Veeam</v>
      </c>
      <c r="E143" s="7" t="str">
        <f>IFERROR(__xludf.DUMMYFUNCTION("""COMPUTED_VALUE"""),"NO SALARY DATA")</f>
        <v>NO SALARY DATA</v>
      </c>
      <c r="F143" s="7" t="str">
        <f>IFERROR(__xludf.DUMMYFUNCTION("""COMPUTED_VALUE"""),"No salary data")</f>
        <v>No salary data</v>
      </c>
      <c r="G143" s="7" t="str">
        <f>IFERROR(__xludf.DUMMYFUNCTION("""COMPUTED_VALUE"""),"Excel")</f>
        <v>Excel</v>
      </c>
      <c r="H143" s="7" t="str">
        <f>IFERROR(__xludf.DUMMYFUNCTION("""COMPUTED_VALUE"""),"No job type data")</f>
        <v>No job type data</v>
      </c>
      <c r="I143" s="7" t="str">
        <f>IFERROR(__xludf.DUMMYFUNCTION("""COMPUTED_VALUE"""),"3,5")</f>
        <v>3,5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 t="str">
        <f>IFERROR(__xludf.DUMMYFUNCTION("""COMPUTED_VALUE"""),"4 days ago")</f>
        <v>4 days ago</v>
      </c>
      <c r="B144" s="7" t="str">
        <f>IFERROR(__xludf.DUMMYFUNCTION("""COMPUTED_VALUE"""),"Systems Engineer - Baden-Württemberg - Stuttgart/Leonberg/Ka...")</f>
        <v>Systems Engineer - Baden-Württemberg - Stuttgart/Leonberg/Ka...</v>
      </c>
      <c r="C144" s="7" t="str">
        <f>IFERROR(__xludf.DUMMYFUNCTION("""COMPUTED_VALUE"""),"München")</f>
        <v>München</v>
      </c>
      <c r="D144" s="7" t="str">
        <f>IFERROR(__xludf.DUMMYFUNCTION("""COMPUTED_VALUE"""),"Veeam")</f>
        <v>Veeam</v>
      </c>
      <c r="E144" s="7" t="str">
        <f>IFERROR(__xludf.DUMMYFUNCTION("""COMPUTED_VALUE"""),"NO SALARY DATA")</f>
        <v>NO SALARY DATA</v>
      </c>
      <c r="F144" s="7" t="str">
        <f>IFERROR(__xludf.DUMMYFUNCTION("""COMPUTED_VALUE"""),"No salary data")</f>
        <v>No salary data</v>
      </c>
      <c r="G144" s="7" t="str">
        <f>IFERROR(__xludf.DUMMYFUNCTION("""COMPUTED_VALUE"""),"Excel")</f>
        <v>Excel</v>
      </c>
      <c r="H144" s="7" t="str">
        <f>IFERROR(__xludf.DUMMYFUNCTION("""COMPUTED_VALUE"""),"No job type data")</f>
        <v>No job type data</v>
      </c>
      <c r="I144" s="7" t="str">
        <f>IFERROR(__xludf.DUMMYFUNCTION("""COMPUTED_VALUE"""),"3,5")</f>
        <v>3,5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 t="str">
        <f>IFERROR(__xludf.DUMMYFUNCTION("""COMPUTED_VALUE"""),"21 days ago")</f>
        <v>21 days ago</v>
      </c>
      <c r="B145" s="7" t="str">
        <f>IFERROR(__xludf.DUMMYFUNCTION("""COMPUTED_VALUE"""),"Marketing Science Partner DACH")</f>
        <v>Marketing Science Partner DACH</v>
      </c>
      <c r="C145" s="7" t="str">
        <f>IFERROR(__xludf.DUMMYFUNCTION("""COMPUTED_VALUE"""),"Hamburg, Freie und Hansestadt")</f>
        <v>Hamburg, Freie und Hansestadt</v>
      </c>
      <c r="D145" s="7" t="str">
        <f>IFERROR(__xludf.DUMMYFUNCTION("""COMPUTED_VALUE"""),"Facebook")</f>
        <v>Facebook</v>
      </c>
      <c r="E145" s="7" t="str">
        <f>IFERROR(__xludf.DUMMYFUNCTION("""COMPUTED_VALUE"""),"NO SALARY DATA")</f>
        <v>NO SALARY DATA</v>
      </c>
      <c r="F145" s="7" t="str">
        <f>IFERROR(__xludf.DUMMYFUNCTION("""COMPUTED_VALUE"""),"No salary data")</f>
        <v>No salary data</v>
      </c>
      <c r="G145" s="7" t="str">
        <f>IFERROR(__xludf.DUMMYFUNCTION("""COMPUTED_VALUE"""),"SQL, Excel, Statistic, Git")</f>
        <v>SQL, Excel, Statistic, Git</v>
      </c>
      <c r="H145" s="7" t="str">
        <f>IFERROR(__xludf.DUMMYFUNCTION("""COMPUTED_VALUE"""),"Full Time")</f>
        <v>Full Time</v>
      </c>
      <c r="I145" s="7" t="str">
        <f>IFERROR(__xludf.DUMMYFUNCTION("""COMPUTED_VALUE"""),"4,2")</f>
        <v>4,2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 t="str">
        <f>IFERROR(__xludf.DUMMYFUNCTION("""COMPUTED_VALUE"""),"21 days ago")</f>
        <v>21 days ago</v>
      </c>
      <c r="B146" s="7" t="str">
        <f>IFERROR(__xludf.DUMMYFUNCTION("""COMPUTED_VALUE"""),"Marketing Science Partner DACH")</f>
        <v>Marketing Science Partner DACH</v>
      </c>
      <c r="C146" s="7" t="str">
        <f>IFERROR(__xludf.DUMMYFUNCTION("""COMPUTED_VALUE"""),"Hamburg, Freie und Hansestadt")</f>
        <v>Hamburg, Freie und Hansestadt</v>
      </c>
      <c r="D146" s="7" t="str">
        <f>IFERROR(__xludf.DUMMYFUNCTION("""COMPUTED_VALUE"""),"Facebook")</f>
        <v>Facebook</v>
      </c>
      <c r="E146" s="7" t="str">
        <f>IFERROR(__xludf.DUMMYFUNCTION("""COMPUTED_VALUE"""),"NO SALARY DATA")</f>
        <v>NO SALARY DATA</v>
      </c>
      <c r="F146" s="7" t="str">
        <f>IFERROR(__xludf.DUMMYFUNCTION("""COMPUTED_VALUE"""),"No salary data")</f>
        <v>No salary data</v>
      </c>
      <c r="G146" s="7" t="str">
        <f>IFERROR(__xludf.DUMMYFUNCTION("""COMPUTED_VALUE"""),"SQL, Excel, Statistic, Git")</f>
        <v>SQL, Excel, Statistic, Git</v>
      </c>
      <c r="H146" s="7" t="str">
        <f>IFERROR(__xludf.DUMMYFUNCTION("""COMPUTED_VALUE"""),"Full Time")</f>
        <v>Full Time</v>
      </c>
      <c r="I146" s="7" t="str">
        <f>IFERROR(__xludf.DUMMYFUNCTION("""COMPUTED_VALUE"""),"4,2")</f>
        <v>4,2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 t="str">
        <f>IFERROR(__xludf.DUMMYFUNCTION("""COMPUTED_VALUE"""),"More than 30 days ago")</f>
        <v>More than 30 days ago</v>
      </c>
      <c r="B147" s="7" t="str">
        <f>IFERROR(__xludf.DUMMYFUNCTION("""COMPUTED_VALUE"""),"Reporting Specialist (m/w/d)")</f>
        <v>Reporting Specialist (m/w/d)</v>
      </c>
      <c r="C147" s="7" t="str">
        <f>IFERROR(__xludf.DUMMYFUNCTION("""COMPUTED_VALUE"""),"Düsseldorf")</f>
        <v>Düsseldorf</v>
      </c>
      <c r="D147" s="7" t="str">
        <f>IFERROR(__xludf.DUMMYFUNCTION("""COMPUTED_VALUE"""),"Yusen Logistics (Deutschland) GmbH")</f>
        <v>Yusen Logistics (Deutschland) GmbH</v>
      </c>
      <c r="E147" s="7" t="str">
        <f>IFERROR(__xludf.DUMMYFUNCTION("""COMPUTED_VALUE"""),"NO SALARY DATA")</f>
        <v>NO SALARY DATA</v>
      </c>
      <c r="F147" s="7" t="str">
        <f>IFERROR(__xludf.DUMMYFUNCTION("""COMPUTED_VALUE"""),"No salary data")</f>
        <v>No salary data</v>
      </c>
      <c r="G147" s="7" t="str">
        <f>IFERROR(__xludf.DUMMYFUNCTION("""COMPUTED_VALUE"""),"Excel")</f>
        <v>Excel</v>
      </c>
      <c r="H147" s="7" t="str">
        <f>IFERROR(__xludf.DUMMYFUNCTION("""COMPUTED_VALUE"""),"No job type data")</f>
        <v>No job type data</v>
      </c>
      <c r="I147" s="7" t="str">
        <f>IFERROR(__xludf.DUMMYFUNCTION("""COMPUTED_VALUE"""),"3,3")</f>
        <v>3,3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6.29"/>
    <col customWidth="1" min="10" max="10" width="16.14"/>
  </cols>
  <sheetData>
    <row r="1">
      <c r="A1" s="41" t="s">
        <v>237</v>
      </c>
      <c r="B1" s="42" t="s">
        <v>2425</v>
      </c>
      <c r="C1" s="7"/>
      <c r="D1" s="7"/>
      <c r="E1" s="7"/>
      <c r="F1" s="7"/>
      <c r="G1" s="7"/>
      <c r="H1" s="38"/>
      <c r="I1" s="38"/>
      <c r="J1" s="7"/>
      <c r="K1" s="7"/>
      <c r="L1" s="7"/>
      <c r="M1" s="7"/>
      <c r="N1" s="7"/>
      <c r="O1" s="7"/>
      <c r="P1" s="7"/>
    </row>
    <row r="2">
      <c r="A2" s="41" t="s">
        <v>239</v>
      </c>
      <c r="B2" s="10" t="s">
        <v>2426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>
      <c r="A4" s="43" t="s">
        <v>2427</v>
      </c>
      <c r="B4" s="43" t="s">
        <v>2428</v>
      </c>
      <c r="C4" s="43" t="s">
        <v>2429</v>
      </c>
      <c r="D4" s="43" t="s">
        <v>2430</v>
      </c>
      <c r="E4" s="43" t="s">
        <v>2431</v>
      </c>
      <c r="F4" s="43" t="s">
        <v>2432</v>
      </c>
      <c r="G4" s="43" t="s">
        <v>2433</v>
      </c>
      <c r="H4" s="43" t="s">
        <v>2434</v>
      </c>
      <c r="I4" s="43" t="s">
        <v>2435</v>
      </c>
      <c r="J4" s="43" t="s">
        <v>2436</v>
      </c>
      <c r="K4" s="43" t="s">
        <v>2437</v>
      </c>
      <c r="L4" s="43" t="s">
        <v>2438</v>
      </c>
      <c r="M4" s="7"/>
      <c r="N4" s="7"/>
      <c r="O4" s="7"/>
      <c r="P4" s="7"/>
    </row>
    <row r="5">
      <c r="A5" s="43" t="s">
        <v>2439</v>
      </c>
      <c r="B5" s="10" t="s">
        <v>2440</v>
      </c>
      <c r="C5" s="10" t="s">
        <v>2441</v>
      </c>
      <c r="D5" s="10" t="s">
        <v>2442</v>
      </c>
      <c r="E5" s="10" t="s">
        <v>2443</v>
      </c>
      <c r="F5" s="10" t="s">
        <v>2444</v>
      </c>
      <c r="G5" s="10" t="s">
        <v>2445</v>
      </c>
      <c r="H5" s="10" t="s">
        <v>2446</v>
      </c>
      <c r="I5" s="10" t="s">
        <v>2447</v>
      </c>
      <c r="J5" s="10" t="s">
        <v>2448</v>
      </c>
      <c r="K5" s="10" t="s">
        <v>2449</v>
      </c>
      <c r="L5" s="10" t="s">
        <v>2450</v>
      </c>
      <c r="M5" s="7"/>
      <c r="N5" s="7"/>
      <c r="O5" s="7"/>
      <c r="P5" s="7"/>
    </row>
    <row r="6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>
      <c r="A7" s="40"/>
      <c r="B7" s="7"/>
      <c r="C7" s="7"/>
      <c r="D7" s="7"/>
      <c r="E7" s="7"/>
      <c r="F7" s="7"/>
      <c r="G7" s="7"/>
      <c r="H7" s="7"/>
      <c r="J7" s="7"/>
      <c r="K7" s="40"/>
      <c r="L7" s="7"/>
      <c r="M7" s="7"/>
      <c r="N7" s="7"/>
      <c r="O7" s="7"/>
      <c r="P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</sheetData>
  <hyperlinks>
    <hyperlink r:id="rId1" location="gid=973749186" ref="B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0"/>
    <col customWidth="1" min="4" max="4" width="14.29"/>
    <col customWidth="1" min="5" max="5" width="11.57"/>
    <col customWidth="1" min="6" max="6" width="10.71"/>
    <col customWidth="1" min="7" max="7" width="11.57"/>
    <col customWidth="1" min="8" max="8" width="11.43"/>
    <col customWidth="1" min="9" max="9" width="16.29"/>
    <col customWidth="1" min="10" max="10" width="16.14"/>
    <col customWidth="1" min="11" max="11" width="13.29"/>
    <col customWidth="1" min="12" max="12" width="14.29"/>
    <col customWidth="1" min="13" max="13" width="16.29"/>
  </cols>
  <sheetData>
    <row r="1">
      <c r="A1" s="44" t="s">
        <v>237</v>
      </c>
      <c r="B1" s="42" t="s">
        <v>2425</v>
      </c>
      <c r="C1" s="7"/>
      <c r="D1" s="7"/>
      <c r="E1" s="7"/>
      <c r="F1" s="7"/>
      <c r="G1" s="7"/>
      <c r="H1" s="38"/>
      <c r="I1" s="38"/>
      <c r="J1" s="7"/>
      <c r="K1" s="31"/>
      <c r="L1" s="31"/>
      <c r="M1" s="31" t="s">
        <v>2451</v>
      </c>
      <c r="N1" s="45" t="s">
        <v>2452</v>
      </c>
    </row>
    <row r="2">
      <c r="A2" s="44" t="s">
        <v>239</v>
      </c>
      <c r="B2" s="10" t="s">
        <v>2426</v>
      </c>
      <c r="C2" s="7"/>
      <c r="D2" s="7"/>
      <c r="E2" s="7"/>
      <c r="F2" s="7"/>
      <c r="G2" s="7"/>
      <c r="H2" s="7"/>
      <c r="I2" s="7"/>
      <c r="J2" s="7"/>
      <c r="K2" s="10"/>
      <c r="L2" s="10"/>
      <c r="M2" s="46" t="s">
        <v>2453</v>
      </c>
      <c r="N2" s="46" t="s">
        <v>2454</v>
      </c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>
      <c r="A4" s="10" t="s">
        <v>2427</v>
      </c>
      <c r="B4" s="10" t="s">
        <v>2428</v>
      </c>
      <c r="C4" s="10" t="s">
        <v>2429</v>
      </c>
      <c r="D4" s="10" t="s">
        <v>2430</v>
      </c>
      <c r="E4" s="10" t="s">
        <v>2431</v>
      </c>
      <c r="F4" s="10" t="s">
        <v>2432</v>
      </c>
      <c r="G4" s="10" t="s">
        <v>2433</v>
      </c>
      <c r="H4" s="10" t="s">
        <v>2434</v>
      </c>
      <c r="I4" s="10" t="s">
        <v>2435</v>
      </c>
      <c r="J4" s="10" t="s">
        <v>2436</v>
      </c>
      <c r="K4" s="38" t="s">
        <v>2437</v>
      </c>
      <c r="L4" s="38" t="s">
        <v>2438</v>
      </c>
      <c r="M4" s="7"/>
      <c r="N4" s="7"/>
    </row>
    <row r="5">
      <c r="A5" s="10" t="s">
        <v>2439</v>
      </c>
      <c r="B5" s="10" t="s">
        <v>2440</v>
      </c>
      <c r="C5" s="10" t="s">
        <v>2441</v>
      </c>
      <c r="D5" s="10" t="s">
        <v>2442</v>
      </c>
      <c r="E5" s="10" t="s">
        <v>2443</v>
      </c>
      <c r="F5" s="10" t="s">
        <v>2444</v>
      </c>
      <c r="G5" s="10" t="s">
        <v>2445</v>
      </c>
      <c r="H5" s="10" t="s">
        <v>2446</v>
      </c>
      <c r="I5" s="10" t="s">
        <v>2447</v>
      </c>
      <c r="J5" s="10" t="s">
        <v>2448</v>
      </c>
      <c r="K5" s="38" t="s">
        <v>2449</v>
      </c>
      <c r="L5" s="38" t="s">
        <v>2450</v>
      </c>
      <c r="M5" s="7"/>
      <c r="N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>
      <c r="A7" s="40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0"/>
      <c r="N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0"/>
      <c r="N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0"/>
      <c r="N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0"/>
      <c r="N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  <c r="N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0"/>
      <c r="N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</sheetData>
  <dataValidations>
    <dataValidation type="list" allowBlank="1" sqref="N2">
      <formula1>"DESC,ASC"</formula1>
    </dataValidation>
    <dataValidation type="list" allowBlank="1" showErrorMessage="1" sqref="M2">
      <formula1>"Europe,Asia"</formula1>
    </dataValidation>
  </dataValidations>
  <hyperlinks>
    <hyperlink r:id="rId1" location="gid=973749186" ref="B1"/>
  </hyperlinks>
  <drawing r:id="rId2"/>
</worksheet>
</file>